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<sst xmlns="http://schemas.openxmlformats.org/spreadsheetml/2006/main" count="6419" uniqueCount="530">
  <si>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</si>
  <si>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</si>
  <si>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</si>
  <si>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</si>
  <si>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апреля 2021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</si>
  <si>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</si>
  <si>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</si>
  <si>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</si>
  <si>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</si>
  <si>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</si>
  <si>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</si>
  <si>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</si>
  <si>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</si>
  <si>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</si>
  <si>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</si>
  <si>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</si>
  <si>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</si>
  <si>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</si>
  <si>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</si>
  <si>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</si>
  <si>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</si>
  <si>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</si>
  <si>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</si>
  <si>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</si>
  <si>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</si>
  <si>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</si>
  <si>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</si>
  <si>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</si>
  <si>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</si>
  <si>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</si>
  <si>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</si>
  <si>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</si>
  <si>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</si>
  <si>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</si>
  <si>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</si>
  <si>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</si>
  <si>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</si>
  <si>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</si>
  <si>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</si>
  <si>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</si>
  <si>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</si>
  <si>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</si>
  <si>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</si>
  <si>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</si>
  <si>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</si>
  <si>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</si>
  <si>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</si>
  <si>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</si>
  <si>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</si>
  <si>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</si>
  <si>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</si>
  <si>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</si>
  <si>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</si>
  <si>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</si>
  <si>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</si>
  <si>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</si>
  <si>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</si>
  <si>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</si>
  <si>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</si>
  <si>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</si>
  <si>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</si>
  <si>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</si>
  <si>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</si>
  <si>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</si>
  <si>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</si>
  <si>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</si>
  <si>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</si>
  <si>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</si>
  <si>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</si>
  <si>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</si>
  <si>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</si>
  <si>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</si>
  <si>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</si>
  <si>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</si>
  <si>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</si>
  <si>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</si>
  <si>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</si>
  <si>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</si>
  <si>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</si>
  <si>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</si>
  <si>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</si>
  <si>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</si>
  <si>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</si>
  <si>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</si>
  <si>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</si>
  <si>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</si>
  <si>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</si>
  <si>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</si>
  <si>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</si>
  <si>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</si>
  <si>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</si>
  <si>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</si>
  <si>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</si>
  <si>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</si>
  <si>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</si>
  <si>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</si>
  <si>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</si>
  <si>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</si>
  <si>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</si>
  <si>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</si>
  <si>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</si>
  <si>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</si>
  <si>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</si>
  <si>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</si>
  <si>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</si>
  <si>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</si>
  <si>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</si>
  <si>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</si>
  <si>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</si>
  <si>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</si>
  <si>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</si>
  <si>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</si>
  <si>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</si>
  <si>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</si>
  <si>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</si>
  <si>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</si>
  <si>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</si>
  <si>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</si>
  <si>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</si>
  <si>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</si>
  <si>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</si>
  <si>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</si>
  <si>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</si>
  <si>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</si>
  <si>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</si>
  <si>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</si>
  <si>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</si>
  <si>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</si>
  <si>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</si>
  <si>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</si>
  <si>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</si>
  <si>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</si>
  <si>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</si>
  <si>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</si>
  <si>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</si>
  <si>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</si>
  <si>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</si>
  <si>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</si>
  <si>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</si>
  <si>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</si>
  <si>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000 11402053 10 0000 440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</si>
  <si>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</si>
  <si>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</si>
  <si>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</si>
  <si>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</si>
  <si>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</si>
  <si>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</si>
  <si>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</si>
  <si>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</si>
  <si>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</si>
  <si>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</si>
  <si>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</si>
  <si>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</si>
  <si>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</si>
  <si>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</si>
  <si>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</si>
  <si>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</si>
  <si>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</si>
  <si>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</si>
  <si>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</si>
  <si>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</si>
  <si>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</si>
  <si>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</si>
  <si>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</si>
  <si>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</si>
  <si>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</si>
  <si>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</si>
  <si>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</si>
  <si>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</si>
  <si>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</si>
  <si>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</si>
  <si>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</si>
  <si>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</si>
  <si>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</si>
  <si>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</si>
  <si>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</si>
  <si>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</si>
  <si>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</si>
  <si>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</si>
  <si>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</si>
  <si>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</si>
  <si>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</si>
  <si>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</si>
  <si>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</si>
  <si>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</si>
  <si>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</si>
  <si>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</si>
  <si>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</si>
  <si>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</si>
  <si>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</si>
  <si>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</si>
  <si>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</si>
  <si>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</si>
  <si>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</si>
  <si>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</si>
  <si>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</si>
  <si>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</si>
  <si>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</si>
  <si>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</si>
  <si>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</si>
  <si>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</si>
  <si>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</si>
  <si>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</si>
  <si>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</si>
  <si>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</si>
  <si>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</si>
  <si>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</si>
  <si>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</si>
  <si>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</si>
  <si>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</si>
  <si>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</si>
  <si>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</si>
  <si>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</si>
  <si>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</si>
  <si>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</si>
  <si>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</si>
  <si>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</si>
  <si>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</si>
  <si>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</si>
  <si>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</si>
  <si>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</si>
  <si>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</si>
  <si>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</si>
  <si>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</si>
  <si>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</si>
  <si>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</si>
  <si>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</si>
  <si>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</si>
  <si>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</si>
  <si>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</si>
  <si>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</si>
  <si>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</si>
  <si>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</si>
  <si>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</si>
  <si>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</si>
  <si>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</si>
  <si>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</si>
  <si>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</si>
  <si>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</si>
  <si>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</si>
  <si>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</si>
  <si>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</si>
  <si>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</si>
  <si>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</si>
  <si>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</si>
  <si>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</si>
  <si>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</si>
  <si>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</si>
  <si>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</si>
  <si>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</si>
  <si>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</si>
  <si>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</si>
  <si>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</si>
  <si>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</si>
  <si>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</si>
  <si>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</si>
  <si>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</si>
  <si>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</si>
  <si>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</si>
  <si>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</si>
  <si>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</si>
  <si>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</si>
  <si>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</si>
  <si>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</si>
  <si>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</si>
  <si>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</si>
  <si>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</si>
  <si>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</si>
  <si>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</si>
  <si>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</si>
  <si>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</si>
  <si>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</si>
  <si>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</si>
  <si>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</si>
  <si>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</si>
  <si>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</si>
  <si>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</si>
  <si>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</si>
  <si>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</si>
  <si>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</si>
  <si>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</si>
  <si>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</si>
  <si>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</si>
  <si>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</si>
  <si>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</si>
  <si>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</si>
  <si>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</si>
  <si>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</si>
  <si>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</si>
  <si>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</si>
  <si>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</si>
  <si>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</si>
  <si>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</si>
  <si>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</si>
  <si>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</si>
  <si>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</si>
  <si>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</si>
  <si>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</si>
  <si>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</si>
  <si>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</si>
  <si>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</si>
  <si>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</si>
  <si>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</si>
  <si>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</si>
  <si>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</si>
  <si>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</si>
  <si>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</si>
  <si>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</si>
  <si>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</si>
  <si>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</si>
  <si>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000 0503 0000000000 851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</si>
  <si>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</si>
  <si>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</si>
  <si>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</si>
  <si>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</si>
  <si>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</si>
  <si>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</si>
  <si>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</si>
  <si>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</si>
  <si>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</si>
  <si>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</si>
  <si>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</si>
  <si>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</si>
  <si>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</si>
  <si>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</si>
  <si>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</si>
  <si>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</si>
  <si>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</si>
  <si>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</si>
  <si>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</si>
  <si>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</si>
  <si>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</si>
  <si>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</si>
  <si>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</si>
  <si>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Другие вопросы в области культуры, кинематографии</t>
  </si>
  <si>
    <t>000 0804 0000000000 000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</si>
  <si>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</si>
  <si>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</si>
  <si>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</si>
  <si>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</si>
  <si>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</si>
  <si>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</si>
  <si>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</si>
  <si>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</si>
  <si>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</si>
  <si>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</si>
  <si>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</si>
  <si>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</si>
  <si>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</si>
  <si>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</si>
  <si>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</si>
  <si>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</si>
  <si>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</si>
  <si>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</si>
  <si>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</si>
  <si>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</si>
  <si>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</si>
  <si>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</si>
  <si>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</si>
  <si>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</si>
  <si>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</si>
  <si>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</si>
  <si>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</si>
  <si>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</si>
  <si>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</si>
  <si>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</si>
  <si>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</si>
  <si>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</si>
  <si>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</si>
  <si>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</si>
  <si>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</si>
  <si>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</si>
  <si>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</si>
  <si>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</si>
  <si>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</si>
  <si>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</si>
  <si>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</si>
  <si>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</si>
  <si>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</si>
  <si>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</si>
  <si>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</si>
  <si>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</si>
  <si>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</si>
  <si>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</si>
  <si>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</si>
  <si>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</si>
  <si>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</si>
  <si>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</si>
  <si>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</si>
  <si>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</si>
  <si>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</si>
  <si>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</si>
  <si>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</si>
  <si>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</si>
  <si>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</si>
  <si>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</si>
  <si>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</si>
  <si>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</si>
  <si>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</si>
  <si>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</si>
  <si>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</si>
  <si>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</si>
  <si>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</si>
  <si>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</si>
  <si>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</si>
  <si>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</si>
  <si>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</si>
  <si>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</si>
  <si>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</si>
  <si>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</si>
  <si>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</si>
  <si>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</si>
  <si>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</si>
  <si>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</si>
  <si>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</si>
  <si>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</si>
  <si>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</si>
  <si>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</si>
  <si>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</si>
  <si>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</si>
  <si>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</si>
  <si>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</si>
  <si>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</si>
  <si>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</si>
  <si>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</si>
  <si>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</si>
  <si>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</si>
  <si>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</si>
  <si>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</si>
  <si>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</si>
  <si>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</si>
  <si>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</si>
  <si>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</si>
  <si>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</si>
  <si>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</si>
  <si>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</si>
  <si>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</si>
  <si>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</si>
  <si>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</si>
  <si>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</si>
  <si>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</si>
  <si>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</si>
  <si>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</si>
  <si>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</si>
  <si>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</si>
  <si>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</si>
  <si>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</si>
  <si>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</si>
  <si>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</si>
  <si>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</si>
  <si>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</si>
  <si>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</si>
  <si>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</si>
  <si>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</si>
  <si>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</si>
  <si>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</si>
  <si>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</si>
  <si>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</si>
  <si>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</si>
  <si>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</si>
  <si>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</si>
  <si>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</si>
  <si>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</si>
  <si>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</si>
  <si>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</si>
  <si>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</si>
  <si>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</si>
  <si>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</si>
  <si>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</si>
  <si>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</si>
  <si>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</si>
  <si>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</si>
  <si>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</si>
  <si>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</si>
  <si>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</si>
  <si>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</si>
  <si>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</si>
  <si>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</si>
  <si>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</si>
  <si>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</si>
  <si>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</si>
  <si>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</si>
  <si>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</si>
  <si>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</si>
  <si>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</si>
  <si>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</si>
  <si>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</si>
  <si>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</si>
  <si>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</si>
  <si>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</si>
  <si>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</si>
  <si>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</si>
  <si>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</si>
  <si>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</si>
  <si>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</si>
  <si>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</si>
  <si>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</si>
  <si>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</si>
  <si>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</si>
  <si>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</si>
  <si>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</si>
  <si>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</si>
  <si>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</si>
  <si>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</si>
  <si>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</si>
  <si>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</si>
  <si>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</si>
  <si>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</si>
  <si>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</si>
  <si>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</si>
  <si>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</si>
  <si>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</si>
  <si>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</si>
  <si>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</si>
  <si>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</si>
  <si>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</si>
  <si>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</si>
  <si>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</si>
  <si>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</si>
  <si>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</si>
  <si>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</si>
  <si>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</si>
  <si>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</si>
  <si>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</si>
  <si>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</si>
  <si>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</si>
  <si>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</si>
  <si>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</si>
  <si>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7 апреля 2021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</si>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</sst>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48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44287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12085260</f>
        <v>12085260</v>
      </c>
      <c r="V13" s="18"/>
      <c r="W13" s="18"/>
      <c r="X13" s="19" t="s">
        <v>71</v>
      </c>
      <c r="Y13" s="19"/>
      <c r="Z13" s="19"/>
      <c r="AA13" s="19"/>
      <c r="AB13" s="18">
        <f>12085260</f>
        <v>12085260</v>
      </c>
      <c r="AC13" s="18"/>
      <c r="AD13" s="18"/>
      <c r="AE13" s="20">
        <f>22180054</f>
        <v>22180054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34265314</f>
        <v>34265314</v>
      </c>
      <c r="AU13" s="18"/>
      <c r="AV13" s="18"/>
      <c r="AW13" s="19" t="s">
        <v>71</v>
      </c>
      <c r="AX13" s="19"/>
      <c r="AY13" s="18">
        <f>4933527.75</f>
        <v>4933527.75</v>
      </c>
      <c r="AZ13" s="18"/>
      <c r="BA13" s="19" t="s">
        <v>71</v>
      </c>
      <c r="BB13" s="19"/>
      <c r="BC13" s="19"/>
      <c r="BD13" s="18">
        <f>4933527.75</f>
        <v>4933527.75</v>
      </c>
      <c r="BE13" s="18"/>
      <c r="BF13" s="20">
        <f>3387400</f>
        <v>3387400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8320927.75</f>
        <v>8320927.75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12035260</f>
        <v>12035260</v>
      </c>
      <c r="V14" s="24"/>
      <c r="W14" s="24"/>
      <c r="X14" s="25" t="s">
        <v>71</v>
      </c>
      <c r="Y14" s="25"/>
      <c r="Z14" s="25"/>
      <c r="AA14" s="25"/>
      <c r="AB14" s="24">
        <f>12035260</f>
        <v>12035260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12035260</f>
        <v>12035260</v>
      </c>
      <c r="AU14" s="24"/>
      <c r="AV14" s="24"/>
      <c r="AW14" s="25" t="s">
        <v>71</v>
      </c>
      <c r="AX14" s="25"/>
      <c r="AY14" s="24">
        <f>4933527.75</f>
        <v>4933527.75</v>
      </c>
      <c r="AZ14" s="24"/>
      <c r="BA14" s="25" t="s">
        <v>71</v>
      </c>
      <c r="BB14" s="25"/>
      <c r="BC14" s="25"/>
      <c r="BD14" s="24">
        <f>4933527.75</f>
        <v>4933527.75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4933527.75</f>
        <v>4933527.75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1053000</f>
        <v>1053000</v>
      </c>
      <c r="V15" s="24"/>
      <c r="W15" s="24"/>
      <c r="X15" s="25" t="s">
        <v>71</v>
      </c>
      <c r="Y15" s="25"/>
      <c r="Z15" s="25"/>
      <c r="AA15" s="25"/>
      <c r="AB15" s="24">
        <f>1053000</f>
        <v>1053000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1053000</f>
        <v>1053000</v>
      </c>
      <c r="AU15" s="24"/>
      <c r="AV15" s="24"/>
      <c r="AW15" s="25" t="s">
        <v>71</v>
      </c>
      <c r="AX15" s="25"/>
      <c r="AY15" s="24">
        <f>237816.88</f>
        <v>237816.88</v>
      </c>
      <c r="AZ15" s="24"/>
      <c r="BA15" s="25" t="s">
        <v>71</v>
      </c>
      <c r="BB15" s="25"/>
      <c r="BC15" s="25"/>
      <c r="BD15" s="24">
        <f>237816.88</f>
        <v>237816.88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237816.88</f>
        <v>237816.88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1053000</f>
        <v>1053000</v>
      </c>
      <c r="V16" s="24"/>
      <c r="W16" s="24"/>
      <c r="X16" s="25" t="s">
        <v>71</v>
      </c>
      <c r="Y16" s="25"/>
      <c r="Z16" s="25"/>
      <c r="AA16" s="25"/>
      <c r="AB16" s="24">
        <f>1053000</f>
        <v>1053000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1053000</f>
        <v>1053000</v>
      </c>
      <c r="AU16" s="24"/>
      <c r="AV16" s="24"/>
      <c r="AW16" s="25" t="s">
        <v>71</v>
      </c>
      <c r="AX16" s="25"/>
      <c r="AY16" s="24">
        <f>237816.88</f>
        <v>237816.88</v>
      </c>
      <c r="AZ16" s="24"/>
      <c r="BA16" s="25" t="s">
        <v>71</v>
      </c>
      <c r="BB16" s="25"/>
      <c r="BC16" s="25"/>
      <c r="BD16" s="24">
        <f>237816.88</f>
        <v>237816.88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237816.88</f>
        <v>237816.88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1045000</f>
        <v>1045000</v>
      </c>
      <c r="V17" s="24"/>
      <c r="W17" s="24"/>
      <c r="X17" s="25" t="s">
        <v>71</v>
      </c>
      <c r="Y17" s="25"/>
      <c r="Z17" s="25"/>
      <c r="AA17" s="25"/>
      <c r="AB17" s="24">
        <f>1045000</f>
        <v>1045000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1045000</f>
        <v>1045000</v>
      </c>
      <c r="AU17" s="24"/>
      <c r="AV17" s="24"/>
      <c r="AW17" s="25" t="s">
        <v>71</v>
      </c>
      <c r="AX17" s="25"/>
      <c r="AY17" s="24">
        <f>235658.01</f>
        <v>235658.01</v>
      </c>
      <c r="AZ17" s="24"/>
      <c r="BA17" s="25" t="s">
        <v>71</v>
      </c>
      <c r="BB17" s="25"/>
      <c r="BC17" s="25"/>
      <c r="BD17" s="24">
        <f>235658.01</f>
        <v>235658.01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235658.01</f>
        <v>235658.01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393.09</f>
        <v>393.09</v>
      </c>
      <c r="AZ18" s="24"/>
      <c r="BA18" s="25" t="s">
        <v>71</v>
      </c>
      <c r="BB18" s="25"/>
      <c r="BC18" s="25"/>
      <c r="BD18" s="24">
        <f>393.09</f>
        <v>393.09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393.09</f>
        <v>393.09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6000</f>
        <v>6000</v>
      </c>
      <c r="V19" s="24"/>
      <c r="W19" s="24"/>
      <c r="X19" s="25" t="s">
        <v>71</v>
      </c>
      <c r="Y19" s="25"/>
      <c r="Z19" s="25"/>
      <c r="AA19" s="25"/>
      <c r="AB19" s="24">
        <f>6000</f>
        <v>6000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6000</f>
        <v>6000</v>
      </c>
      <c r="AU19" s="24"/>
      <c r="AV19" s="24"/>
      <c r="AW19" s="25" t="s">
        <v>71</v>
      </c>
      <c r="AX19" s="25"/>
      <c r="AY19" s="24">
        <f>1765.78</f>
        <v>1765.78</v>
      </c>
      <c r="AZ19" s="24"/>
      <c r="BA19" s="25" t="s">
        <v>71</v>
      </c>
      <c r="BB19" s="25"/>
      <c r="BC19" s="25"/>
      <c r="BD19" s="24">
        <f>1765.78</f>
        <v>1765.78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1765.78</f>
        <v>1765.78</v>
      </c>
      <c r="BO19" s="24"/>
      <c r="BP19" s="24"/>
      <c r="BQ19" s="27" t="s">
        <v>71</v>
      </c>
    </row>
    <row r="20" spans="1:69" s="1" customFormat="1" ht="24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4">
        <f>4097260</f>
        <v>4097260</v>
      </c>
      <c r="V20" s="24"/>
      <c r="W20" s="24"/>
      <c r="X20" s="25" t="s">
        <v>71</v>
      </c>
      <c r="Y20" s="25"/>
      <c r="Z20" s="25"/>
      <c r="AA20" s="25"/>
      <c r="AB20" s="24">
        <f>4097260</f>
        <v>4097260</v>
      </c>
      <c r="AC20" s="24"/>
      <c r="AD20" s="24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4">
        <f>4097260</f>
        <v>4097260</v>
      </c>
      <c r="AU20" s="24"/>
      <c r="AV20" s="24"/>
      <c r="AW20" s="25" t="s">
        <v>71</v>
      </c>
      <c r="AX20" s="25"/>
      <c r="AY20" s="24">
        <f>918691</f>
        <v>918691</v>
      </c>
      <c r="AZ20" s="24"/>
      <c r="BA20" s="25" t="s">
        <v>71</v>
      </c>
      <c r="BB20" s="25"/>
      <c r="BC20" s="25"/>
      <c r="BD20" s="24">
        <f>918691</f>
        <v>918691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918691</f>
        <v>918691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4097260</f>
        <v>4097260</v>
      </c>
      <c r="V21" s="24"/>
      <c r="W21" s="24"/>
      <c r="X21" s="25" t="s">
        <v>71</v>
      </c>
      <c r="Y21" s="25"/>
      <c r="Z21" s="25"/>
      <c r="AA21" s="25"/>
      <c r="AB21" s="24">
        <f>4097260</f>
        <v>4097260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4097260</f>
        <v>4097260</v>
      </c>
      <c r="AU21" s="24"/>
      <c r="AV21" s="24"/>
      <c r="AW21" s="25" t="s">
        <v>71</v>
      </c>
      <c r="AX21" s="25"/>
      <c r="AY21" s="24">
        <f>918691</f>
        <v>918691</v>
      </c>
      <c r="AZ21" s="24"/>
      <c r="BA21" s="25" t="s">
        <v>71</v>
      </c>
      <c r="BB21" s="25"/>
      <c r="BC21" s="25"/>
      <c r="BD21" s="24">
        <f>918691</f>
        <v>918691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918691</f>
        <v>918691</v>
      </c>
      <c r="BO21" s="24"/>
      <c r="BP21" s="24"/>
      <c r="BQ21" s="27" t="s">
        <v>71</v>
      </c>
    </row>
    <row r="22" spans="1:69" s="1" customFormat="1" ht="66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1881320</f>
        <v>1881320</v>
      </c>
      <c r="V22" s="24"/>
      <c r="W22" s="24"/>
      <c r="X22" s="25" t="s">
        <v>71</v>
      </c>
      <c r="Y22" s="25"/>
      <c r="Z22" s="25"/>
      <c r="AA22" s="25"/>
      <c r="AB22" s="24">
        <f>1881320</f>
        <v>1881320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1881320</f>
        <v>1881320</v>
      </c>
      <c r="AU22" s="24"/>
      <c r="AV22" s="24"/>
      <c r="AW22" s="25" t="s">
        <v>71</v>
      </c>
      <c r="AX22" s="25"/>
      <c r="AY22" s="24">
        <f>412292.1</f>
        <v>412292.1</v>
      </c>
      <c r="AZ22" s="24"/>
      <c r="BA22" s="25" t="s">
        <v>71</v>
      </c>
      <c r="BB22" s="25"/>
      <c r="BC22" s="25"/>
      <c r="BD22" s="24">
        <f>412292.1</f>
        <v>412292.1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412292.1</f>
        <v>412292.1</v>
      </c>
      <c r="BO22" s="24"/>
      <c r="BP22" s="24"/>
      <c r="BQ22" s="27" t="s">
        <v>71</v>
      </c>
    </row>
    <row r="23" spans="1:69" s="1" customFormat="1" ht="85.5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71</v>
      </c>
      <c r="Y23" s="25"/>
      <c r="Z23" s="25"/>
      <c r="AA23" s="25"/>
      <c r="AB23" s="24">
        <f>1881320</f>
        <v>1881320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1881320</f>
        <v>1881320</v>
      </c>
      <c r="AU23" s="24"/>
      <c r="AV23" s="24"/>
      <c r="AW23" s="25" t="s">
        <v>71</v>
      </c>
      <c r="AX23" s="25"/>
      <c r="AY23" s="24">
        <f>412292.1</f>
        <v>412292.1</v>
      </c>
      <c r="AZ23" s="24"/>
      <c r="BA23" s="25" t="s">
        <v>71</v>
      </c>
      <c r="BB23" s="25"/>
      <c r="BC23" s="25"/>
      <c r="BD23" s="24">
        <f>412292.1</f>
        <v>412292.1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412292.1</f>
        <v>412292.1</v>
      </c>
      <c r="BO23" s="24"/>
      <c r="BP23" s="24"/>
      <c r="BQ23" s="27" t="s">
        <v>71</v>
      </c>
    </row>
    <row r="24" spans="1:69" s="1" customFormat="1" ht="75.7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10720</f>
        <v>10720</v>
      </c>
      <c r="V24" s="24"/>
      <c r="W24" s="24"/>
      <c r="X24" s="25" t="s">
        <v>71</v>
      </c>
      <c r="Y24" s="25"/>
      <c r="Z24" s="25"/>
      <c r="AA24" s="25"/>
      <c r="AB24" s="24">
        <f>10720</f>
        <v>10720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10720</f>
        <v>10720</v>
      </c>
      <c r="AU24" s="24"/>
      <c r="AV24" s="24"/>
      <c r="AW24" s="25" t="s">
        <v>71</v>
      </c>
      <c r="AX24" s="25"/>
      <c r="AY24" s="24">
        <f>2891.66</f>
        <v>2891.66</v>
      </c>
      <c r="AZ24" s="24"/>
      <c r="BA24" s="25" t="s">
        <v>71</v>
      </c>
      <c r="BB24" s="25"/>
      <c r="BC24" s="25"/>
      <c r="BD24" s="24">
        <f>2891.66</f>
        <v>2891.66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2891.66</f>
        <v>2891.66</v>
      </c>
      <c r="BO24" s="24"/>
      <c r="BP24" s="24"/>
      <c r="BQ24" s="27" t="s">
        <v>71</v>
      </c>
    </row>
    <row r="25" spans="1:69" s="1" customFormat="1" ht="96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10720</f>
        <v>10720</v>
      </c>
      <c r="V25" s="24"/>
      <c r="W25" s="24"/>
      <c r="X25" s="25" t="s">
        <v>71</v>
      </c>
      <c r="Y25" s="25"/>
      <c r="Z25" s="25"/>
      <c r="AA25" s="25"/>
      <c r="AB25" s="24">
        <f>10720</f>
        <v>10720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10720</f>
        <v>10720</v>
      </c>
      <c r="AU25" s="24"/>
      <c r="AV25" s="24"/>
      <c r="AW25" s="25" t="s">
        <v>71</v>
      </c>
      <c r="AX25" s="25"/>
      <c r="AY25" s="24">
        <f>2891.66</f>
        <v>2891.66</v>
      </c>
      <c r="AZ25" s="24"/>
      <c r="BA25" s="25" t="s">
        <v>71</v>
      </c>
      <c r="BB25" s="25"/>
      <c r="BC25" s="25"/>
      <c r="BD25" s="24">
        <f>2891.66</f>
        <v>2891.66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2891.66</f>
        <v>2891.66</v>
      </c>
      <c r="BO25" s="24"/>
      <c r="BP25" s="24"/>
      <c r="BQ25" s="27" t="s">
        <v>71</v>
      </c>
    </row>
    <row r="26" spans="1:69" s="1" customFormat="1" ht="66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2474760</f>
        <v>2474760</v>
      </c>
      <c r="V26" s="24"/>
      <c r="W26" s="24"/>
      <c r="X26" s="25" t="s">
        <v>71</v>
      </c>
      <c r="Y26" s="25"/>
      <c r="Z26" s="25"/>
      <c r="AA26" s="25"/>
      <c r="AB26" s="24">
        <f>2474760</f>
        <v>2474760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2474760</f>
        <v>2474760</v>
      </c>
      <c r="AU26" s="24"/>
      <c r="AV26" s="24"/>
      <c r="AW26" s="25" t="s">
        <v>71</v>
      </c>
      <c r="AX26" s="25"/>
      <c r="AY26" s="24">
        <f>577139.75</f>
        <v>577139.75</v>
      </c>
      <c r="AZ26" s="24"/>
      <c r="BA26" s="25" t="s">
        <v>71</v>
      </c>
      <c r="BB26" s="25"/>
      <c r="BC26" s="25"/>
      <c r="BD26" s="24">
        <f>577139.75</f>
        <v>577139.75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577139.75</f>
        <v>577139.75</v>
      </c>
      <c r="BO26" s="24"/>
      <c r="BP26" s="24"/>
      <c r="BQ26" s="27" t="s">
        <v>71</v>
      </c>
    </row>
    <row r="27" spans="1:69" s="1" customFormat="1" ht="85.5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2474760</f>
        <v>2474760</v>
      </c>
      <c r="V27" s="24"/>
      <c r="W27" s="24"/>
      <c r="X27" s="25" t="s">
        <v>71</v>
      </c>
      <c r="Y27" s="25"/>
      <c r="Z27" s="25"/>
      <c r="AA27" s="25"/>
      <c r="AB27" s="24">
        <f>2474760</f>
        <v>2474760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2474760</f>
        <v>2474760</v>
      </c>
      <c r="AU27" s="24"/>
      <c r="AV27" s="24"/>
      <c r="AW27" s="25" t="s">
        <v>71</v>
      </c>
      <c r="AX27" s="25"/>
      <c r="AY27" s="24">
        <f>577139.75</f>
        <v>577139.75</v>
      </c>
      <c r="AZ27" s="24"/>
      <c r="BA27" s="25" t="s">
        <v>71</v>
      </c>
      <c r="BB27" s="25"/>
      <c r="BC27" s="25"/>
      <c r="BD27" s="24">
        <f>577139.75</f>
        <v>577139.75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577139.75</f>
        <v>577139.75</v>
      </c>
      <c r="BO27" s="24"/>
      <c r="BP27" s="24"/>
      <c r="BQ27" s="27" t="s">
        <v>71</v>
      </c>
    </row>
    <row r="28" spans="1:69" s="1" customFormat="1" ht="66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-269540</f>
        <v>-269540</v>
      </c>
      <c r="V28" s="24"/>
      <c r="W28" s="24"/>
      <c r="X28" s="25" t="s">
        <v>71</v>
      </c>
      <c r="Y28" s="25"/>
      <c r="Z28" s="25"/>
      <c r="AA28" s="25"/>
      <c r="AB28" s="24">
        <f>-269540</f>
        <v>-269540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-269540</f>
        <v>-269540</v>
      </c>
      <c r="AU28" s="24"/>
      <c r="AV28" s="24"/>
      <c r="AW28" s="25" t="s">
        <v>71</v>
      </c>
      <c r="AX28" s="25"/>
      <c r="AY28" s="24">
        <f>-73632.51</f>
        <v>-73632.51</v>
      </c>
      <c r="AZ28" s="24"/>
      <c r="BA28" s="25" t="s">
        <v>71</v>
      </c>
      <c r="BB28" s="25"/>
      <c r="BC28" s="25"/>
      <c r="BD28" s="24">
        <f>-73632.51</f>
        <v>-73632.51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-73632.51</f>
        <v>-73632.51</v>
      </c>
      <c r="BO28" s="24"/>
      <c r="BP28" s="24"/>
      <c r="BQ28" s="27" t="s">
        <v>71</v>
      </c>
    </row>
    <row r="29" spans="1:69" s="1" customFormat="1" ht="85.5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-269540</f>
        <v>-269540</v>
      </c>
      <c r="V29" s="24"/>
      <c r="W29" s="24"/>
      <c r="X29" s="25" t="s">
        <v>71</v>
      </c>
      <c r="Y29" s="25"/>
      <c r="Z29" s="25"/>
      <c r="AA29" s="25"/>
      <c r="AB29" s="24">
        <f>-269540</f>
        <v>-269540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-269540</f>
        <v>-269540</v>
      </c>
      <c r="AU29" s="24"/>
      <c r="AV29" s="24"/>
      <c r="AW29" s="25" t="s">
        <v>71</v>
      </c>
      <c r="AX29" s="25"/>
      <c r="AY29" s="24">
        <f>-73632.51</f>
        <v>-73632.51</v>
      </c>
      <c r="AZ29" s="24"/>
      <c r="BA29" s="25" t="s">
        <v>71</v>
      </c>
      <c r="BB29" s="25"/>
      <c r="BC29" s="25"/>
      <c r="BD29" s="24">
        <f>-73632.51</f>
        <v>-73632.51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-73632.51</f>
        <v>-73632.51</v>
      </c>
      <c r="BO29" s="24"/>
      <c r="BP29" s="24"/>
      <c r="BQ29" s="27" t="s">
        <v>71</v>
      </c>
    </row>
    <row r="30" spans="1:69" s="1" customFormat="1" ht="13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5000</f>
        <v>5000</v>
      </c>
      <c r="V30" s="24"/>
      <c r="W30" s="24"/>
      <c r="X30" s="25" t="s">
        <v>71</v>
      </c>
      <c r="Y30" s="25"/>
      <c r="Z30" s="25"/>
      <c r="AA30" s="25"/>
      <c r="AB30" s="24">
        <f>5000</f>
        <v>5000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5000</f>
        <v>5000</v>
      </c>
      <c r="AU30" s="24"/>
      <c r="AV30" s="24"/>
      <c r="AW30" s="25" t="s">
        <v>71</v>
      </c>
      <c r="AX30" s="25"/>
      <c r="AY30" s="24">
        <f>851.11</f>
        <v>851.11</v>
      </c>
      <c r="AZ30" s="24"/>
      <c r="BA30" s="25" t="s">
        <v>71</v>
      </c>
      <c r="BB30" s="25"/>
      <c r="BC30" s="25"/>
      <c r="BD30" s="24">
        <f>851.11</f>
        <v>851.11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851.11</f>
        <v>851.11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5000</f>
        <v>5000</v>
      </c>
      <c r="V31" s="24"/>
      <c r="W31" s="24"/>
      <c r="X31" s="25" t="s">
        <v>71</v>
      </c>
      <c r="Y31" s="25"/>
      <c r="Z31" s="25"/>
      <c r="AA31" s="25"/>
      <c r="AB31" s="24">
        <f>5000</f>
        <v>5000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5000</f>
        <v>5000</v>
      </c>
      <c r="AU31" s="24"/>
      <c r="AV31" s="24"/>
      <c r="AW31" s="25" t="s">
        <v>71</v>
      </c>
      <c r="AX31" s="25"/>
      <c r="AY31" s="24">
        <f>851.11</f>
        <v>851.11</v>
      </c>
      <c r="AZ31" s="24"/>
      <c r="BA31" s="25" t="s">
        <v>71</v>
      </c>
      <c r="BB31" s="25"/>
      <c r="BC31" s="25"/>
      <c r="BD31" s="24">
        <f>851.11</f>
        <v>851.11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851.11</f>
        <v>851.11</v>
      </c>
      <c r="BO31" s="24"/>
      <c r="BP31" s="24"/>
      <c r="BQ31" s="27" t="s">
        <v>71</v>
      </c>
    </row>
    <row r="32" spans="1:69" s="1" customFormat="1" ht="13.5" customHeight="1">
      <c r="A32" s="16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108</v>
      </c>
      <c r="Q32" s="23"/>
      <c r="R32" s="23"/>
      <c r="S32" s="23"/>
      <c r="T32" s="23"/>
      <c r="U32" s="24">
        <f>5000</f>
        <v>5000</v>
      </c>
      <c r="V32" s="24"/>
      <c r="W32" s="24"/>
      <c r="X32" s="25" t="s">
        <v>71</v>
      </c>
      <c r="Y32" s="25"/>
      <c r="Z32" s="25"/>
      <c r="AA32" s="25"/>
      <c r="AB32" s="24">
        <f>5000</f>
        <v>5000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5000</f>
        <v>5000</v>
      </c>
      <c r="AU32" s="24"/>
      <c r="AV32" s="24"/>
      <c r="AW32" s="25" t="s">
        <v>71</v>
      </c>
      <c r="AX32" s="25"/>
      <c r="AY32" s="24">
        <f>851.11</f>
        <v>851.11</v>
      </c>
      <c r="AZ32" s="24"/>
      <c r="BA32" s="25" t="s">
        <v>71</v>
      </c>
      <c r="BB32" s="25"/>
      <c r="BC32" s="25"/>
      <c r="BD32" s="24">
        <f>851.11</f>
        <v>851.11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851.11</f>
        <v>851.11</v>
      </c>
      <c r="BO32" s="24"/>
      <c r="BP32" s="24"/>
      <c r="BQ32" s="27" t="s">
        <v>71</v>
      </c>
    </row>
    <row r="33" spans="1:69" s="1" customFormat="1" ht="13.5" customHeight="1">
      <c r="A33" s="16" t="s">
        <v>109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6155000</f>
        <v>6155000</v>
      </c>
      <c r="V33" s="24"/>
      <c r="W33" s="24"/>
      <c r="X33" s="25" t="s">
        <v>71</v>
      </c>
      <c r="Y33" s="25"/>
      <c r="Z33" s="25"/>
      <c r="AA33" s="25"/>
      <c r="AB33" s="24">
        <f>6155000</f>
        <v>6155000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6155000</f>
        <v>6155000</v>
      </c>
      <c r="AU33" s="24"/>
      <c r="AV33" s="24"/>
      <c r="AW33" s="25" t="s">
        <v>71</v>
      </c>
      <c r="AX33" s="25"/>
      <c r="AY33" s="24">
        <f>3547737.56</f>
        <v>3547737.56</v>
      </c>
      <c r="AZ33" s="24"/>
      <c r="BA33" s="25" t="s">
        <v>71</v>
      </c>
      <c r="BB33" s="25"/>
      <c r="BC33" s="25"/>
      <c r="BD33" s="24">
        <f>3547737.56</f>
        <v>3547737.56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3547737.56</f>
        <v>3547737.56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1867000</f>
        <v>1867000</v>
      </c>
      <c r="V34" s="24"/>
      <c r="W34" s="24"/>
      <c r="X34" s="25" t="s">
        <v>71</v>
      </c>
      <c r="Y34" s="25"/>
      <c r="Z34" s="25"/>
      <c r="AA34" s="25"/>
      <c r="AB34" s="24">
        <f>1867000</f>
        <v>1867000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1867000</f>
        <v>1867000</v>
      </c>
      <c r="AU34" s="24"/>
      <c r="AV34" s="24"/>
      <c r="AW34" s="25" t="s">
        <v>71</v>
      </c>
      <c r="AX34" s="25"/>
      <c r="AY34" s="24">
        <f>117809.38</f>
        <v>117809.38</v>
      </c>
      <c r="AZ34" s="24"/>
      <c r="BA34" s="25" t="s">
        <v>71</v>
      </c>
      <c r="BB34" s="25"/>
      <c r="BC34" s="25"/>
      <c r="BD34" s="24">
        <f>117809.38</f>
        <v>117809.38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117809.38</f>
        <v>117809.38</v>
      </c>
      <c r="BO34" s="24"/>
      <c r="BP34" s="24"/>
      <c r="BQ34" s="27" t="s">
        <v>71</v>
      </c>
    </row>
    <row r="35" spans="1:69" s="1" customFormat="1" ht="33.7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1867000</f>
        <v>1867000</v>
      </c>
      <c r="V35" s="24"/>
      <c r="W35" s="24"/>
      <c r="X35" s="25" t="s">
        <v>71</v>
      </c>
      <c r="Y35" s="25"/>
      <c r="Z35" s="25"/>
      <c r="AA35" s="25"/>
      <c r="AB35" s="24">
        <f>1867000</f>
        <v>1867000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1867000</f>
        <v>1867000</v>
      </c>
      <c r="AU35" s="24"/>
      <c r="AV35" s="24"/>
      <c r="AW35" s="25" t="s">
        <v>71</v>
      </c>
      <c r="AX35" s="25"/>
      <c r="AY35" s="24">
        <f>117809.38</f>
        <v>117809.38</v>
      </c>
      <c r="AZ35" s="24"/>
      <c r="BA35" s="25" t="s">
        <v>71</v>
      </c>
      <c r="BB35" s="25"/>
      <c r="BC35" s="25"/>
      <c r="BD35" s="24">
        <f>117809.38</f>
        <v>117809.38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117809.38</f>
        <v>117809.38</v>
      </c>
      <c r="BO35" s="24"/>
      <c r="BP35" s="24"/>
      <c r="BQ35" s="27" t="s">
        <v>71</v>
      </c>
    </row>
    <row r="36" spans="1:69" s="1" customFormat="1" ht="13.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4288000</f>
        <v>4288000</v>
      </c>
      <c r="V36" s="24"/>
      <c r="W36" s="24"/>
      <c r="X36" s="25" t="s">
        <v>71</v>
      </c>
      <c r="Y36" s="25"/>
      <c r="Z36" s="25"/>
      <c r="AA36" s="25"/>
      <c r="AB36" s="24">
        <f>4288000</f>
        <v>4288000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4288000</f>
        <v>4288000</v>
      </c>
      <c r="AU36" s="24"/>
      <c r="AV36" s="24"/>
      <c r="AW36" s="25" t="s">
        <v>71</v>
      </c>
      <c r="AX36" s="25"/>
      <c r="AY36" s="24">
        <f>3429928.18</f>
        <v>3429928.18</v>
      </c>
      <c r="AZ36" s="24"/>
      <c r="BA36" s="25" t="s">
        <v>71</v>
      </c>
      <c r="BB36" s="25"/>
      <c r="BC36" s="25"/>
      <c r="BD36" s="24">
        <f>3429928.18</f>
        <v>3429928.18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3429928.18</f>
        <v>3429928.18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1785000</f>
        <v>1785000</v>
      </c>
      <c r="V37" s="24"/>
      <c r="W37" s="24"/>
      <c r="X37" s="25" t="s">
        <v>71</v>
      </c>
      <c r="Y37" s="25"/>
      <c r="Z37" s="25"/>
      <c r="AA37" s="25"/>
      <c r="AB37" s="24">
        <f>1785000</f>
        <v>1785000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1785000</f>
        <v>1785000</v>
      </c>
      <c r="AU37" s="24"/>
      <c r="AV37" s="24"/>
      <c r="AW37" s="25" t="s">
        <v>71</v>
      </c>
      <c r="AX37" s="25"/>
      <c r="AY37" s="24">
        <f>3284796.42</f>
        <v>3284796.42</v>
      </c>
      <c r="AZ37" s="24"/>
      <c r="BA37" s="25" t="s">
        <v>71</v>
      </c>
      <c r="BB37" s="25"/>
      <c r="BC37" s="25"/>
      <c r="BD37" s="24">
        <f>3284796.42</f>
        <v>3284796.42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3284796.42</f>
        <v>3284796.42</v>
      </c>
      <c r="BO37" s="24"/>
      <c r="BP37" s="24"/>
      <c r="BQ37" s="27" t="s">
        <v>71</v>
      </c>
    </row>
    <row r="38" spans="1:69" s="1" customFormat="1" ht="33.7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1785000</f>
        <v>1785000</v>
      </c>
      <c r="V38" s="24"/>
      <c r="W38" s="24"/>
      <c r="X38" s="25" t="s">
        <v>71</v>
      </c>
      <c r="Y38" s="25"/>
      <c r="Z38" s="25"/>
      <c r="AA38" s="25"/>
      <c r="AB38" s="24">
        <f>1785000</f>
        <v>1785000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1785000</f>
        <v>1785000</v>
      </c>
      <c r="AU38" s="24"/>
      <c r="AV38" s="24"/>
      <c r="AW38" s="25" t="s">
        <v>71</v>
      </c>
      <c r="AX38" s="25"/>
      <c r="AY38" s="24">
        <f>3284796.42</f>
        <v>3284796.42</v>
      </c>
      <c r="AZ38" s="24"/>
      <c r="BA38" s="25" t="s">
        <v>71</v>
      </c>
      <c r="BB38" s="25"/>
      <c r="BC38" s="25"/>
      <c r="BD38" s="24">
        <f>3284796.42</f>
        <v>3284796.42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3284796.42</f>
        <v>3284796.42</v>
      </c>
      <c r="BO38" s="24"/>
      <c r="BP38" s="24"/>
      <c r="BQ38" s="27" t="s">
        <v>71</v>
      </c>
    </row>
    <row r="39" spans="1:69" s="1" customFormat="1" ht="13.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2503000</f>
        <v>2503000</v>
      </c>
      <c r="V39" s="24"/>
      <c r="W39" s="24"/>
      <c r="X39" s="25" t="s">
        <v>71</v>
      </c>
      <c r="Y39" s="25"/>
      <c r="Z39" s="25"/>
      <c r="AA39" s="25"/>
      <c r="AB39" s="24">
        <f>2503000</f>
        <v>2503000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2503000</f>
        <v>2503000</v>
      </c>
      <c r="AU39" s="24"/>
      <c r="AV39" s="24"/>
      <c r="AW39" s="25" t="s">
        <v>71</v>
      </c>
      <c r="AX39" s="25"/>
      <c r="AY39" s="24">
        <f>145131.76</f>
        <v>145131.76</v>
      </c>
      <c r="AZ39" s="24"/>
      <c r="BA39" s="25" t="s">
        <v>71</v>
      </c>
      <c r="BB39" s="25"/>
      <c r="BC39" s="25"/>
      <c r="BD39" s="24">
        <f>145131.76</f>
        <v>145131.76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145131.76</f>
        <v>145131.76</v>
      </c>
      <c r="BO39" s="24"/>
      <c r="BP39" s="24"/>
      <c r="BQ39" s="27" t="s">
        <v>71</v>
      </c>
    </row>
    <row r="40" spans="1:69" s="1" customFormat="1" ht="33.7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2503000</f>
        <v>2503000</v>
      </c>
      <c r="V40" s="24"/>
      <c r="W40" s="24"/>
      <c r="X40" s="25" t="s">
        <v>71</v>
      </c>
      <c r="Y40" s="25"/>
      <c r="Z40" s="25"/>
      <c r="AA40" s="25"/>
      <c r="AB40" s="24">
        <f>2503000</f>
        <v>2503000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2503000</f>
        <v>2503000</v>
      </c>
      <c r="AU40" s="24"/>
      <c r="AV40" s="24"/>
      <c r="AW40" s="25" t="s">
        <v>71</v>
      </c>
      <c r="AX40" s="25"/>
      <c r="AY40" s="24">
        <f>145131.76</f>
        <v>145131.76</v>
      </c>
      <c r="AZ40" s="24"/>
      <c r="BA40" s="25" t="s">
        <v>71</v>
      </c>
      <c r="BB40" s="25"/>
      <c r="BC40" s="25"/>
      <c r="BD40" s="24">
        <f>145131.76</f>
        <v>145131.76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145131.76</f>
        <v>145131.76</v>
      </c>
      <c r="BO40" s="24"/>
      <c r="BP40" s="24"/>
      <c r="BQ40" s="27" t="s">
        <v>71</v>
      </c>
    </row>
    <row r="41" spans="1:69" s="1" customFormat="1" ht="33.7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4">
        <f>725000</f>
        <v>725000</v>
      </c>
      <c r="V41" s="24"/>
      <c r="W41" s="24"/>
      <c r="X41" s="25" t="s">
        <v>71</v>
      </c>
      <c r="Y41" s="25"/>
      <c r="Z41" s="25"/>
      <c r="AA41" s="25"/>
      <c r="AB41" s="24">
        <f>725000</f>
        <v>725000</v>
      </c>
      <c r="AC41" s="24"/>
      <c r="AD41" s="24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4">
        <f>725000</f>
        <v>725000</v>
      </c>
      <c r="AU41" s="24"/>
      <c r="AV41" s="24"/>
      <c r="AW41" s="25" t="s">
        <v>71</v>
      </c>
      <c r="AX41" s="25"/>
      <c r="AY41" s="24">
        <f>194687.18</f>
        <v>194687.18</v>
      </c>
      <c r="AZ41" s="24"/>
      <c r="BA41" s="25" t="s">
        <v>71</v>
      </c>
      <c r="BB41" s="25"/>
      <c r="BC41" s="25"/>
      <c r="BD41" s="24">
        <f>194687.18</f>
        <v>194687.18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194687.18</f>
        <v>194687.18</v>
      </c>
      <c r="BO41" s="24"/>
      <c r="BP41" s="24"/>
      <c r="BQ41" s="27" t="s">
        <v>71</v>
      </c>
    </row>
    <row r="42" spans="1:69" s="1" customFormat="1" ht="66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4">
        <f>725000</f>
        <v>725000</v>
      </c>
      <c r="V42" s="24"/>
      <c r="W42" s="24"/>
      <c r="X42" s="25" t="s">
        <v>71</v>
      </c>
      <c r="Y42" s="25"/>
      <c r="Z42" s="25"/>
      <c r="AA42" s="25"/>
      <c r="AB42" s="24">
        <f>725000</f>
        <v>725000</v>
      </c>
      <c r="AC42" s="24"/>
      <c r="AD42" s="24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4">
        <f>725000</f>
        <v>725000</v>
      </c>
      <c r="AU42" s="24"/>
      <c r="AV42" s="24"/>
      <c r="AW42" s="25" t="s">
        <v>71</v>
      </c>
      <c r="AX42" s="25"/>
      <c r="AY42" s="24">
        <f>194687.18</f>
        <v>194687.18</v>
      </c>
      <c r="AZ42" s="24"/>
      <c r="BA42" s="25" t="s">
        <v>71</v>
      </c>
      <c r="BB42" s="25"/>
      <c r="BC42" s="25"/>
      <c r="BD42" s="24">
        <f>194687.18</f>
        <v>194687.18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194687.18</f>
        <v>194687.18</v>
      </c>
      <c r="BO42" s="24"/>
      <c r="BP42" s="24"/>
      <c r="BQ42" s="27" t="s">
        <v>71</v>
      </c>
    </row>
    <row r="43" spans="1:69" s="1" customFormat="1" ht="66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4">
        <f>725000</f>
        <v>725000</v>
      </c>
      <c r="V43" s="24"/>
      <c r="W43" s="24"/>
      <c r="X43" s="25" t="s">
        <v>71</v>
      </c>
      <c r="Y43" s="25"/>
      <c r="Z43" s="25"/>
      <c r="AA43" s="25"/>
      <c r="AB43" s="24">
        <f>725000</f>
        <v>725000</v>
      </c>
      <c r="AC43" s="24"/>
      <c r="AD43" s="24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4">
        <f>725000</f>
        <v>725000</v>
      </c>
      <c r="AU43" s="24"/>
      <c r="AV43" s="24"/>
      <c r="AW43" s="25" t="s">
        <v>71</v>
      </c>
      <c r="AX43" s="25"/>
      <c r="AY43" s="24">
        <f>194687.18</f>
        <v>194687.18</v>
      </c>
      <c r="AZ43" s="24"/>
      <c r="BA43" s="25" t="s">
        <v>71</v>
      </c>
      <c r="BB43" s="25"/>
      <c r="BC43" s="25"/>
      <c r="BD43" s="24">
        <f>194687.18</f>
        <v>194687.18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194687.18</f>
        <v>194687.18</v>
      </c>
      <c r="BO43" s="24"/>
      <c r="BP43" s="24"/>
      <c r="BQ43" s="27" t="s">
        <v>71</v>
      </c>
    </row>
    <row r="44" spans="1:69" s="1" customFormat="1" ht="66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725000</f>
        <v>725000</v>
      </c>
      <c r="V44" s="24"/>
      <c r="W44" s="24"/>
      <c r="X44" s="25" t="s">
        <v>71</v>
      </c>
      <c r="Y44" s="25"/>
      <c r="Z44" s="25"/>
      <c r="AA44" s="25"/>
      <c r="AB44" s="24">
        <f>725000</f>
        <v>725000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725000</f>
        <v>725000</v>
      </c>
      <c r="AU44" s="24"/>
      <c r="AV44" s="24"/>
      <c r="AW44" s="25" t="s">
        <v>71</v>
      </c>
      <c r="AX44" s="25"/>
      <c r="AY44" s="24">
        <f>194687.18</f>
        <v>194687.18</v>
      </c>
      <c r="AZ44" s="24"/>
      <c r="BA44" s="25" t="s">
        <v>71</v>
      </c>
      <c r="BB44" s="25"/>
      <c r="BC44" s="25"/>
      <c r="BD44" s="24">
        <f>194687.18</f>
        <v>194687.18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194687.18</f>
        <v>194687.18</v>
      </c>
      <c r="BO44" s="24"/>
      <c r="BP44" s="24"/>
      <c r="BQ44" s="27" t="s">
        <v>71</v>
      </c>
    </row>
    <row r="45" spans="1:69" s="1" customFormat="1" ht="24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5" t="s">
        <v>71</v>
      </c>
      <c r="V45" s="25"/>
      <c r="W45" s="25"/>
      <c r="X45" s="25" t="s">
        <v>71</v>
      </c>
      <c r="Y45" s="25"/>
      <c r="Z45" s="25"/>
      <c r="AA45" s="25"/>
      <c r="AB45" s="25" t="s">
        <v>71</v>
      </c>
      <c r="AC45" s="25"/>
      <c r="AD45" s="25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5" t="s">
        <v>71</v>
      </c>
      <c r="AU45" s="25"/>
      <c r="AV45" s="25"/>
      <c r="AW45" s="25" t="s">
        <v>71</v>
      </c>
      <c r="AX45" s="25"/>
      <c r="AY45" s="24">
        <f>30260</f>
        <v>30260</v>
      </c>
      <c r="AZ45" s="24"/>
      <c r="BA45" s="25" t="s">
        <v>71</v>
      </c>
      <c r="BB45" s="25"/>
      <c r="BC45" s="25"/>
      <c r="BD45" s="24">
        <f>30260</f>
        <v>30260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30260</f>
        <v>30260</v>
      </c>
      <c r="BO45" s="24"/>
      <c r="BP45" s="24"/>
      <c r="BQ45" s="27" t="s">
        <v>71</v>
      </c>
    </row>
    <row r="46" spans="1:69" s="1" customFormat="1" ht="66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5" t="s">
        <v>71</v>
      </c>
      <c r="V46" s="25"/>
      <c r="W46" s="25"/>
      <c r="X46" s="25" t="s">
        <v>71</v>
      </c>
      <c r="Y46" s="25"/>
      <c r="Z46" s="25"/>
      <c r="AA46" s="25"/>
      <c r="AB46" s="25" t="s">
        <v>71</v>
      </c>
      <c r="AC46" s="25"/>
      <c r="AD46" s="25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5" t="s">
        <v>71</v>
      </c>
      <c r="AU46" s="25"/>
      <c r="AV46" s="25"/>
      <c r="AW46" s="25" t="s">
        <v>71</v>
      </c>
      <c r="AX46" s="25"/>
      <c r="AY46" s="24">
        <f>30260</f>
        <v>30260</v>
      </c>
      <c r="AZ46" s="24"/>
      <c r="BA46" s="25" t="s">
        <v>71</v>
      </c>
      <c r="BB46" s="25"/>
      <c r="BC46" s="25"/>
      <c r="BD46" s="24">
        <f>30260</f>
        <v>30260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30260</f>
        <v>30260</v>
      </c>
      <c r="BO46" s="24"/>
      <c r="BP46" s="24"/>
      <c r="BQ46" s="27" t="s">
        <v>71</v>
      </c>
    </row>
    <row r="47" spans="1:69" s="1" customFormat="1" ht="75.75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5" t="s">
        <v>71</v>
      </c>
      <c r="V47" s="25"/>
      <c r="W47" s="25"/>
      <c r="X47" s="25" t="s">
        <v>71</v>
      </c>
      <c r="Y47" s="25"/>
      <c r="Z47" s="25"/>
      <c r="AA47" s="25"/>
      <c r="AB47" s="25" t="s">
        <v>71</v>
      </c>
      <c r="AC47" s="25"/>
      <c r="AD47" s="25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5" t="s">
        <v>71</v>
      </c>
      <c r="AU47" s="25"/>
      <c r="AV47" s="25"/>
      <c r="AW47" s="25" t="s">
        <v>71</v>
      </c>
      <c r="AX47" s="25"/>
      <c r="AY47" s="24">
        <f>30260</f>
        <v>30260</v>
      </c>
      <c r="AZ47" s="24"/>
      <c r="BA47" s="25" t="s">
        <v>71</v>
      </c>
      <c r="BB47" s="25"/>
      <c r="BC47" s="25"/>
      <c r="BD47" s="24">
        <f>30260</f>
        <v>30260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30260</f>
        <v>30260</v>
      </c>
      <c r="BO47" s="24"/>
      <c r="BP47" s="24"/>
      <c r="BQ47" s="27" t="s">
        <v>71</v>
      </c>
    </row>
    <row r="48" spans="1:69" s="1" customFormat="1" ht="75.75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5" t="s">
        <v>71</v>
      </c>
      <c r="V48" s="25"/>
      <c r="W48" s="25"/>
      <c r="X48" s="25" t="s">
        <v>71</v>
      </c>
      <c r="Y48" s="25"/>
      <c r="Z48" s="25"/>
      <c r="AA48" s="25"/>
      <c r="AB48" s="25" t="s">
        <v>71</v>
      </c>
      <c r="AC48" s="25"/>
      <c r="AD48" s="25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5" t="s">
        <v>71</v>
      </c>
      <c r="AU48" s="25"/>
      <c r="AV48" s="25"/>
      <c r="AW48" s="25" t="s">
        <v>71</v>
      </c>
      <c r="AX48" s="25"/>
      <c r="AY48" s="24">
        <f>30260</f>
        <v>30260</v>
      </c>
      <c r="AZ48" s="24"/>
      <c r="BA48" s="25" t="s">
        <v>71</v>
      </c>
      <c r="BB48" s="25"/>
      <c r="BC48" s="25"/>
      <c r="BD48" s="24">
        <f>30260</f>
        <v>30260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30260</f>
        <v>30260</v>
      </c>
      <c r="BO48" s="24"/>
      <c r="BP48" s="24"/>
      <c r="BQ48" s="27" t="s">
        <v>71</v>
      </c>
    </row>
    <row r="49" spans="1:69" s="1" customFormat="1" ht="13.5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5" t="s">
        <v>71</v>
      </c>
      <c r="V49" s="25"/>
      <c r="W49" s="25"/>
      <c r="X49" s="25" t="s">
        <v>71</v>
      </c>
      <c r="Y49" s="25"/>
      <c r="Z49" s="25"/>
      <c r="AA49" s="25"/>
      <c r="AB49" s="25" t="s">
        <v>71</v>
      </c>
      <c r="AC49" s="25"/>
      <c r="AD49" s="25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5" t="s">
        <v>71</v>
      </c>
      <c r="AU49" s="25"/>
      <c r="AV49" s="25"/>
      <c r="AW49" s="25" t="s">
        <v>71</v>
      </c>
      <c r="AX49" s="25"/>
      <c r="AY49" s="24">
        <f>3484.02</f>
        <v>3484.02</v>
      </c>
      <c r="AZ49" s="24"/>
      <c r="BA49" s="25" t="s">
        <v>71</v>
      </c>
      <c r="BB49" s="25"/>
      <c r="BC49" s="25"/>
      <c r="BD49" s="24">
        <f>3484.02</f>
        <v>3484.02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3484.02</f>
        <v>3484.02</v>
      </c>
      <c r="BO49" s="24"/>
      <c r="BP49" s="24"/>
      <c r="BQ49" s="27" t="s">
        <v>71</v>
      </c>
    </row>
    <row r="50" spans="1:69" s="1" customFormat="1" ht="33.75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5" t="s">
        <v>71</v>
      </c>
      <c r="V50" s="25"/>
      <c r="W50" s="25"/>
      <c r="X50" s="25" t="s">
        <v>71</v>
      </c>
      <c r="Y50" s="25"/>
      <c r="Z50" s="25"/>
      <c r="AA50" s="25"/>
      <c r="AB50" s="25" t="s">
        <v>71</v>
      </c>
      <c r="AC50" s="25"/>
      <c r="AD50" s="25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5" t="s">
        <v>71</v>
      </c>
      <c r="AU50" s="25"/>
      <c r="AV50" s="25"/>
      <c r="AW50" s="25" t="s">
        <v>71</v>
      </c>
      <c r="AX50" s="25"/>
      <c r="AY50" s="24">
        <f>500</f>
        <v>500</v>
      </c>
      <c r="AZ50" s="24"/>
      <c r="BA50" s="25" t="s">
        <v>71</v>
      </c>
      <c r="BB50" s="25"/>
      <c r="BC50" s="25"/>
      <c r="BD50" s="24">
        <f>500</f>
        <v>500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500</f>
        <v>500</v>
      </c>
      <c r="BO50" s="24"/>
      <c r="BP50" s="24"/>
      <c r="BQ50" s="27" t="s">
        <v>71</v>
      </c>
    </row>
    <row r="51" spans="1:69" s="1" customFormat="1" ht="4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500</f>
        <v>500</v>
      </c>
      <c r="AZ51" s="24"/>
      <c r="BA51" s="25" t="s">
        <v>71</v>
      </c>
      <c r="BB51" s="25"/>
      <c r="BC51" s="25"/>
      <c r="BD51" s="24">
        <f>500</f>
        <v>500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500</f>
        <v>500</v>
      </c>
      <c r="BO51" s="24"/>
      <c r="BP51" s="24"/>
      <c r="BQ51" s="27" t="s">
        <v>71</v>
      </c>
    </row>
    <row r="52" spans="1:69" s="1" customFormat="1" ht="24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2984.02</f>
        <v>2984.02</v>
      </c>
      <c r="AZ52" s="24"/>
      <c r="BA52" s="25" t="s">
        <v>71</v>
      </c>
      <c r="BB52" s="25"/>
      <c r="BC52" s="25"/>
      <c r="BD52" s="24">
        <f>2984.02</f>
        <v>2984.02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2984.02</f>
        <v>2984.02</v>
      </c>
      <c r="BO52" s="24"/>
      <c r="BP52" s="24"/>
      <c r="BQ52" s="27" t="s">
        <v>71</v>
      </c>
    </row>
    <row r="53" spans="1:69" s="1" customFormat="1" ht="75.7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2984.02</f>
        <v>2984.02</v>
      </c>
      <c r="AZ53" s="24"/>
      <c r="BA53" s="25" t="s">
        <v>71</v>
      </c>
      <c r="BB53" s="25"/>
      <c r="BC53" s="25"/>
      <c r="BD53" s="24">
        <f>2984.02</f>
        <v>2984.02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2984.02</f>
        <v>2984.02</v>
      </c>
      <c r="BO53" s="24"/>
      <c r="BP53" s="24"/>
      <c r="BQ53" s="27" t="s">
        <v>71</v>
      </c>
    </row>
    <row r="54" spans="1:69" s="1" customFormat="1" ht="54.7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2984.02</f>
        <v>2984.02</v>
      </c>
      <c r="AZ54" s="24"/>
      <c r="BA54" s="25" t="s">
        <v>71</v>
      </c>
      <c r="BB54" s="25"/>
      <c r="BC54" s="25"/>
      <c r="BD54" s="24">
        <f>2984.02</f>
        <v>2984.02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2984.02</f>
        <v>2984.02</v>
      </c>
      <c r="BO54" s="24"/>
      <c r="BP54" s="24"/>
      <c r="BQ54" s="27" t="s">
        <v>71</v>
      </c>
    </row>
    <row r="55" spans="1:69" s="1" customFormat="1" ht="13.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4">
        <f>50000</f>
        <v>50000</v>
      </c>
      <c r="V55" s="24"/>
      <c r="W55" s="24"/>
      <c r="X55" s="25" t="s">
        <v>71</v>
      </c>
      <c r="Y55" s="25"/>
      <c r="Z55" s="25"/>
      <c r="AA55" s="25"/>
      <c r="AB55" s="24">
        <f>50000</f>
        <v>50000</v>
      </c>
      <c r="AC55" s="24"/>
      <c r="AD55" s="24"/>
      <c r="AE55" s="28">
        <f>22180054</f>
        <v>22180054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4">
        <f>22230054</f>
        <v>22230054</v>
      </c>
      <c r="AU55" s="24"/>
      <c r="AV55" s="24"/>
      <c r="AW55" s="25" t="s">
        <v>71</v>
      </c>
      <c r="AX55" s="25"/>
      <c r="AY55" s="24">
        <f aca="true" t="shared" si="0" ref="AY55:AY61">0</f>
        <v>0</v>
      </c>
      <c r="AZ55" s="24"/>
      <c r="BA55" s="25" t="s">
        <v>71</v>
      </c>
      <c r="BB55" s="25"/>
      <c r="BC55" s="25"/>
      <c r="BD55" s="24">
        <f aca="true" t="shared" si="1" ref="BD55:BD61">0</f>
        <v>0</v>
      </c>
      <c r="BE55" s="24"/>
      <c r="BF55" s="28">
        <f>3387400</f>
        <v>3387400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3387400</f>
        <v>3387400</v>
      </c>
      <c r="BO55" s="24"/>
      <c r="BP55" s="24"/>
      <c r="BQ55" s="27" t="s">
        <v>71</v>
      </c>
    </row>
    <row r="56" spans="1:69" s="1" customFormat="1" ht="24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4">
        <f aca="true" t="shared" si="2" ref="U56:U71">0</f>
        <v>0</v>
      </c>
      <c r="V56" s="24"/>
      <c r="W56" s="24"/>
      <c r="X56" s="25" t="s">
        <v>71</v>
      </c>
      <c r="Y56" s="25"/>
      <c r="Z56" s="25"/>
      <c r="AA56" s="25"/>
      <c r="AB56" s="24">
        <f aca="true" t="shared" si="3" ref="AB56:AB71">0</f>
        <v>0</v>
      </c>
      <c r="AC56" s="24"/>
      <c r="AD56" s="24"/>
      <c r="AE56" s="28">
        <f>22180054</f>
        <v>22180054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4">
        <f>22180054</f>
        <v>22180054</v>
      </c>
      <c r="AU56" s="24"/>
      <c r="AV56" s="24"/>
      <c r="AW56" s="25" t="s">
        <v>71</v>
      </c>
      <c r="AX56" s="25"/>
      <c r="AY56" s="24">
        <f t="shared" si="0"/>
        <v>0</v>
      </c>
      <c r="AZ56" s="24"/>
      <c r="BA56" s="25" t="s">
        <v>71</v>
      </c>
      <c r="BB56" s="25"/>
      <c r="BC56" s="25"/>
      <c r="BD56" s="24">
        <f t="shared" si="1"/>
        <v>0</v>
      </c>
      <c r="BE56" s="24"/>
      <c r="BF56" s="28">
        <f>3387400</f>
        <v>3387400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3387400</f>
        <v>3387400</v>
      </c>
      <c r="BO56" s="24"/>
      <c r="BP56" s="24"/>
      <c r="BQ56" s="27" t="s">
        <v>71</v>
      </c>
    </row>
    <row r="57" spans="1:69" s="1" customFormat="1" ht="24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71</v>
      </c>
      <c r="Y57" s="25"/>
      <c r="Z57" s="25"/>
      <c r="AA57" s="25"/>
      <c r="AB57" s="24">
        <f t="shared" si="3"/>
        <v>0</v>
      </c>
      <c r="AC57" s="24"/>
      <c r="AD57" s="24"/>
      <c r="AE57" s="28">
        <f>13308000</f>
        <v>13308000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4">
        <f>13308000</f>
        <v>13308000</v>
      </c>
      <c r="AU57" s="24"/>
      <c r="AV57" s="24"/>
      <c r="AW57" s="25" t="s">
        <v>71</v>
      </c>
      <c r="AX57" s="25"/>
      <c r="AY57" s="24">
        <f t="shared" si="0"/>
        <v>0</v>
      </c>
      <c r="AZ57" s="24"/>
      <c r="BA57" s="25" t="s">
        <v>71</v>
      </c>
      <c r="BB57" s="25"/>
      <c r="BC57" s="25"/>
      <c r="BD57" s="24">
        <f t="shared" si="1"/>
        <v>0</v>
      </c>
      <c r="BE57" s="24"/>
      <c r="BF57" s="28">
        <f>3327750</f>
        <v>3327750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3327750</f>
        <v>3327750</v>
      </c>
      <c r="BO57" s="24"/>
      <c r="BP57" s="24"/>
      <c r="BQ57" s="27" t="s">
        <v>71</v>
      </c>
    </row>
    <row r="58" spans="1:69" s="1" customFormat="1" ht="13.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71</v>
      </c>
      <c r="Y58" s="25"/>
      <c r="Z58" s="25"/>
      <c r="AA58" s="25"/>
      <c r="AB58" s="24">
        <f t="shared" si="3"/>
        <v>0</v>
      </c>
      <c r="AC58" s="24"/>
      <c r="AD58" s="24"/>
      <c r="AE58" s="28">
        <f>13185000</f>
        <v>13185000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4">
        <f>13185000</f>
        <v>13185000</v>
      </c>
      <c r="AU58" s="24"/>
      <c r="AV58" s="24"/>
      <c r="AW58" s="25" t="s">
        <v>71</v>
      </c>
      <c r="AX58" s="25"/>
      <c r="AY58" s="24">
        <f t="shared" si="0"/>
        <v>0</v>
      </c>
      <c r="AZ58" s="24"/>
      <c r="BA58" s="25" t="s">
        <v>71</v>
      </c>
      <c r="BB58" s="25"/>
      <c r="BC58" s="25"/>
      <c r="BD58" s="24">
        <f t="shared" si="1"/>
        <v>0</v>
      </c>
      <c r="BE58" s="24"/>
      <c r="BF58" s="28">
        <f>3297000</f>
        <v>3297000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3297000</f>
        <v>3297000</v>
      </c>
      <c r="BO58" s="24"/>
      <c r="BP58" s="24"/>
      <c r="BQ58" s="27" t="s">
        <v>71</v>
      </c>
    </row>
    <row r="59" spans="1:69" s="1" customFormat="1" ht="33.7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71</v>
      </c>
      <c r="Y59" s="25"/>
      <c r="Z59" s="25"/>
      <c r="AA59" s="25"/>
      <c r="AB59" s="24">
        <f t="shared" si="3"/>
        <v>0</v>
      </c>
      <c r="AC59" s="24"/>
      <c r="AD59" s="24"/>
      <c r="AE59" s="28">
        <f>13185000</f>
        <v>13185000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13185000</f>
        <v>13185000</v>
      </c>
      <c r="AU59" s="24"/>
      <c r="AV59" s="24"/>
      <c r="AW59" s="25" t="s">
        <v>71</v>
      </c>
      <c r="AX59" s="25"/>
      <c r="AY59" s="24">
        <f t="shared" si="0"/>
        <v>0</v>
      </c>
      <c r="AZ59" s="24"/>
      <c r="BA59" s="25" t="s">
        <v>71</v>
      </c>
      <c r="BB59" s="25"/>
      <c r="BC59" s="25"/>
      <c r="BD59" s="24">
        <f t="shared" si="1"/>
        <v>0</v>
      </c>
      <c r="BE59" s="24"/>
      <c r="BF59" s="28">
        <f>3297000</f>
        <v>3297000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3297000</f>
        <v>3297000</v>
      </c>
      <c r="BO59" s="24"/>
      <c r="BP59" s="24"/>
      <c r="BQ59" s="27" t="s">
        <v>71</v>
      </c>
    </row>
    <row r="60" spans="1:69" s="1" customFormat="1" ht="33.75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71</v>
      </c>
      <c r="Y60" s="25"/>
      <c r="Z60" s="25"/>
      <c r="AA60" s="25"/>
      <c r="AB60" s="24">
        <f t="shared" si="3"/>
        <v>0</v>
      </c>
      <c r="AC60" s="24"/>
      <c r="AD60" s="24"/>
      <c r="AE60" s="28">
        <f>123000</f>
        <v>123000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123000</f>
        <v>123000</v>
      </c>
      <c r="AU60" s="24"/>
      <c r="AV60" s="24"/>
      <c r="AW60" s="25" t="s">
        <v>71</v>
      </c>
      <c r="AX60" s="25"/>
      <c r="AY60" s="24">
        <f t="shared" si="0"/>
        <v>0</v>
      </c>
      <c r="AZ60" s="24"/>
      <c r="BA60" s="25" t="s">
        <v>71</v>
      </c>
      <c r="BB60" s="25"/>
      <c r="BC60" s="25"/>
      <c r="BD60" s="24">
        <f t="shared" si="1"/>
        <v>0</v>
      </c>
      <c r="BE60" s="24"/>
      <c r="BF60" s="28">
        <f>30750</f>
        <v>30750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30750</f>
        <v>30750</v>
      </c>
      <c r="BO60" s="24"/>
      <c r="BP60" s="24"/>
      <c r="BQ60" s="27" t="s">
        <v>71</v>
      </c>
    </row>
    <row r="61" spans="1:69" s="1" customFormat="1" ht="33.7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71</v>
      </c>
      <c r="Y61" s="25"/>
      <c r="Z61" s="25"/>
      <c r="AA61" s="25"/>
      <c r="AB61" s="24">
        <f t="shared" si="3"/>
        <v>0</v>
      </c>
      <c r="AC61" s="24"/>
      <c r="AD61" s="24"/>
      <c r="AE61" s="28">
        <f>123000</f>
        <v>123000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123000</f>
        <v>123000</v>
      </c>
      <c r="AU61" s="24"/>
      <c r="AV61" s="24"/>
      <c r="AW61" s="25" t="s">
        <v>71</v>
      </c>
      <c r="AX61" s="25"/>
      <c r="AY61" s="24">
        <f t="shared" si="0"/>
        <v>0</v>
      </c>
      <c r="AZ61" s="24"/>
      <c r="BA61" s="25" t="s">
        <v>71</v>
      </c>
      <c r="BB61" s="25"/>
      <c r="BC61" s="25"/>
      <c r="BD61" s="24">
        <f t="shared" si="1"/>
        <v>0</v>
      </c>
      <c r="BE61" s="24"/>
      <c r="BF61" s="28">
        <f>30750</f>
        <v>30750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30750</f>
        <v>30750</v>
      </c>
      <c r="BO61" s="24"/>
      <c r="BP61" s="24"/>
      <c r="BQ61" s="27" t="s">
        <v>71</v>
      </c>
    </row>
    <row r="62" spans="1:69" s="1" customFormat="1" ht="24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71</v>
      </c>
      <c r="Y62" s="25"/>
      <c r="Z62" s="25"/>
      <c r="AA62" s="25"/>
      <c r="AB62" s="24">
        <f t="shared" si="3"/>
        <v>0</v>
      </c>
      <c r="AC62" s="24"/>
      <c r="AD62" s="24"/>
      <c r="AE62" s="28">
        <f>8633418</f>
        <v>8633418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8633418</f>
        <v>8633418</v>
      </c>
      <c r="AU62" s="24"/>
      <c r="AV62" s="24"/>
      <c r="AW62" s="25" t="s">
        <v>71</v>
      </c>
      <c r="AX62" s="25"/>
      <c r="AY62" s="25" t="s">
        <v>71</v>
      </c>
      <c r="AZ62" s="25"/>
      <c r="BA62" s="25" t="s">
        <v>71</v>
      </c>
      <c r="BB62" s="25"/>
      <c r="BC62" s="25"/>
      <c r="BD62" s="25" t="s">
        <v>71</v>
      </c>
      <c r="BE62" s="25"/>
      <c r="BF62" s="26" t="s">
        <v>71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5" t="s">
        <v>71</v>
      </c>
      <c r="BO62" s="25"/>
      <c r="BP62" s="25"/>
      <c r="BQ62" s="27" t="s">
        <v>71</v>
      </c>
    </row>
    <row r="63" spans="1:69" s="1" customFormat="1" ht="54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71</v>
      </c>
      <c r="Y63" s="25"/>
      <c r="Z63" s="25"/>
      <c r="AA63" s="25"/>
      <c r="AB63" s="24">
        <f t="shared" si="3"/>
        <v>0</v>
      </c>
      <c r="AC63" s="24"/>
      <c r="AD63" s="24"/>
      <c r="AE63" s="28">
        <f>5187061</f>
        <v>5187061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5187061</f>
        <v>5187061</v>
      </c>
      <c r="AU63" s="24"/>
      <c r="AV63" s="24"/>
      <c r="AW63" s="25" t="s">
        <v>71</v>
      </c>
      <c r="AX63" s="25"/>
      <c r="AY63" s="25" t="s">
        <v>71</v>
      </c>
      <c r="AZ63" s="25"/>
      <c r="BA63" s="25" t="s">
        <v>71</v>
      </c>
      <c r="BB63" s="25"/>
      <c r="BC63" s="25"/>
      <c r="BD63" s="25" t="s">
        <v>71</v>
      </c>
      <c r="BE63" s="25"/>
      <c r="BF63" s="26" t="s">
        <v>71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5" t="s">
        <v>71</v>
      </c>
      <c r="BO63" s="25"/>
      <c r="BP63" s="25"/>
      <c r="BQ63" s="27" t="s">
        <v>71</v>
      </c>
    </row>
    <row r="64" spans="1:69" s="1" customFormat="1" ht="54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71</v>
      </c>
      <c r="Y64" s="25"/>
      <c r="Z64" s="25"/>
      <c r="AA64" s="25"/>
      <c r="AB64" s="24">
        <f t="shared" si="3"/>
        <v>0</v>
      </c>
      <c r="AC64" s="24"/>
      <c r="AD64" s="24"/>
      <c r="AE64" s="28">
        <f>5187061</f>
        <v>5187061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5187061</f>
        <v>5187061</v>
      </c>
      <c r="AU64" s="24"/>
      <c r="AV64" s="24"/>
      <c r="AW64" s="25" t="s">
        <v>71</v>
      </c>
      <c r="AX64" s="25"/>
      <c r="AY64" s="25" t="s">
        <v>71</v>
      </c>
      <c r="AZ64" s="25"/>
      <c r="BA64" s="25" t="s">
        <v>71</v>
      </c>
      <c r="BB64" s="25"/>
      <c r="BC64" s="25"/>
      <c r="BD64" s="25" t="s">
        <v>71</v>
      </c>
      <c r="BE64" s="25"/>
      <c r="BF64" s="26" t="s">
        <v>71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5" t="s">
        <v>71</v>
      </c>
      <c r="BO64" s="25"/>
      <c r="BP64" s="25"/>
      <c r="BQ64" s="27" t="s">
        <v>71</v>
      </c>
    </row>
    <row r="65" spans="1:69" s="1" customFormat="1" ht="24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71</v>
      </c>
      <c r="Y65" s="25"/>
      <c r="Z65" s="25"/>
      <c r="AA65" s="25"/>
      <c r="AB65" s="24">
        <f t="shared" si="3"/>
        <v>0</v>
      </c>
      <c r="AC65" s="24"/>
      <c r="AD65" s="24"/>
      <c r="AE65" s="28">
        <f>217123</f>
        <v>217123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217123</f>
        <v>217123</v>
      </c>
      <c r="AU65" s="24"/>
      <c r="AV65" s="24"/>
      <c r="AW65" s="25" t="s">
        <v>71</v>
      </c>
      <c r="AX65" s="25"/>
      <c r="AY65" s="25" t="s">
        <v>71</v>
      </c>
      <c r="AZ65" s="25"/>
      <c r="BA65" s="25" t="s">
        <v>71</v>
      </c>
      <c r="BB65" s="25"/>
      <c r="BC65" s="25"/>
      <c r="BD65" s="25" t="s">
        <v>71</v>
      </c>
      <c r="BE65" s="25"/>
      <c r="BF65" s="26" t="s">
        <v>71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5" t="s">
        <v>71</v>
      </c>
      <c r="BO65" s="25"/>
      <c r="BP65" s="25"/>
      <c r="BQ65" s="27" t="s">
        <v>71</v>
      </c>
    </row>
    <row r="66" spans="1:69" s="1" customFormat="1" ht="24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71</v>
      </c>
      <c r="Y66" s="25"/>
      <c r="Z66" s="25"/>
      <c r="AA66" s="25"/>
      <c r="AB66" s="24">
        <f t="shared" si="3"/>
        <v>0</v>
      </c>
      <c r="AC66" s="24"/>
      <c r="AD66" s="24"/>
      <c r="AE66" s="28">
        <f>217123</f>
        <v>217123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217123</f>
        <v>217123</v>
      </c>
      <c r="AU66" s="24"/>
      <c r="AV66" s="24"/>
      <c r="AW66" s="25" t="s">
        <v>71</v>
      </c>
      <c r="AX66" s="25"/>
      <c r="AY66" s="25" t="s">
        <v>71</v>
      </c>
      <c r="AZ66" s="25"/>
      <c r="BA66" s="25" t="s">
        <v>71</v>
      </c>
      <c r="BB66" s="25"/>
      <c r="BC66" s="25"/>
      <c r="BD66" s="25" t="s">
        <v>71</v>
      </c>
      <c r="BE66" s="25"/>
      <c r="BF66" s="26" t="s">
        <v>71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5" t="s">
        <v>71</v>
      </c>
      <c r="BO66" s="25"/>
      <c r="BP66" s="25"/>
      <c r="BQ66" s="27" t="s">
        <v>71</v>
      </c>
    </row>
    <row r="67" spans="1:69" s="1" customFormat="1" ht="24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71</v>
      </c>
      <c r="Y67" s="25"/>
      <c r="Z67" s="25"/>
      <c r="AA67" s="25"/>
      <c r="AB67" s="24">
        <f t="shared" si="3"/>
        <v>0</v>
      </c>
      <c r="AC67" s="24"/>
      <c r="AD67" s="24"/>
      <c r="AE67" s="28">
        <f>3229234</f>
        <v>3229234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3229234</f>
        <v>3229234</v>
      </c>
      <c r="AU67" s="24"/>
      <c r="AV67" s="24"/>
      <c r="AW67" s="25" t="s">
        <v>71</v>
      </c>
      <c r="AX67" s="25"/>
      <c r="AY67" s="25" t="s">
        <v>71</v>
      </c>
      <c r="AZ67" s="25"/>
      <c r="BA67" s="25" t="s">
        <v>71</v>
      </c>
      <c r="BB67" s="25"/>
      <c r="BC67" s="25"/>
      <c r="BD67" s="25" t="s">
        <v>71</v>
      </c>
      <c r="BE67" s="25"/>
      <c r="BF67" s="26" t="s">
        <v>71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5" t="s">
        <v>71</v>
      </c>
      <c r="BO67" s="25"/>
      <c r="BP67" s="25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71</v>
      </c>
      <c r="Y68" s="25"/>
      <c r="Z68" s="25"/>
      <c r="AA68" s="25"/>
      <c r="AB68" s="24">
        <f t="shared" si="3"/>
        <v>0</v>
      </c>
      <c r="AC68" s="24"/>
      <c r="AD68" s="24"/>
      <c r="AE68" s="28">
        <f>3229234</f>
        <v>3229234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3229234</f>
        <v>3229234</v>
      </c>
      <c r="AU68" s="24"/>
      <c r="AV68" s="24"/>
      <c r="AW68" s="25" t="s">
        <v>71</v>
      </c>
      <c r="AX68" s="25"/>
      <c r="AY68" s="25" t="s">
        <v>71</v>
      </c>
      <c r="AZ68" s="25"/>
      <c r="BA68" s="25" t="s">
        <v>71</v>
      </c>
      <c r="BB68" s="25"/>
      <c r="BC68" s="25"/>
      <c r="BD68" s="25" t="s">
        <v>71</v>
      </c>
      <c r="BE68" s="25"/>
      <c r="BF68" s="26" t="s">
        <v>71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5" t="s">
        <v>71</v>
      </c>
      <c r="BO68" s="25"/>
      <c r="BP68" s="25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71</v>
      </c>
      <c r="Y69" s="25"/>
      <c r="Z69" s="25"/>
      <c r="AA69" s="25"/>
      <c r="AB69" s="24">
        <f t="shared" si="3"/>
        <v>0</v>
      </c>
      <c r="AC69" s="24"/>
      <c r="AD69" s="24"/>
      <c r="AE69" s="28">
        <f>238636</f>
        <v>238636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238636</f>
        <v>238636</v>
      </c>
      <c r="AU69" s="24"/>
      <c r="AV69" s="24"/>
      <c r="AW69" s="25" t="s">
        <v>71</v>
      </c>
      <c r="AX69" s="25"/>
      <c r="AY69" s="24">
        <f>0</f>
        <v>0</v>
      </c>
      <c r="AZ69" s="24"/>
      <c r="BA69" s="25" t="s">
        <v>71</v>
      </c>
      <c r="BB69" s="25"/>
      <c r="BC69" s="25"/>
      <c r="BD69" s="24">
        <f>0</f>
        <v>0</v>
      </c>
      <c r="BE69" s="24"/>
      <c r="BF69" s="28">
        <f>59650</f>
        <v>59650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4">
        <f>59650</f>
        <v>59650</v>
      </c>
      <c r="BO69" s="24"/>
      <c r="BP69" s="24"/>
      <c r="BQ69" s="27" t="s">
        <v>71</v>
      </c>
    </row>
    <row r="70" spans="1:69" s="1" customFormat="1" ht="33.75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71</v>
      </c>
      <c r="Y70" s="25"/>
      <c r="Z70" s="25"/>
      <c r="AA70" s="25"/>
      <c r="AB70" s="24">
        <f t="shared" si="3"/>
        <v>0</v>
      </c>
      <c r="AC70" s="24"/>
      <c r="AD70" s="24"/>
      <c r="AE70" s="28">
        <f>238636</f>
        <v>238636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238636</f>
        <v>238636</v>
      </c>
      <c r="AU70" s="24"/>
      <c r="AV70" s="24"/>
      <c r="AW70" s="25" t="s">
        <v>71</v>
      </c>
      <c r="AX70" s="25"/>
      <c r="AY70" s="24">
        <f>0</f>
        <v>0</v>
      </c>
      <c r="AZ70" s="24"/>
      <c r="BA70" s="25" t="s">
        <v>71</v>
      </c>
      <c r="BB70" s="25"/>
      <c r="BC70" s="25"/>
      <c r="BD70" s="24">
        <f>0</f>
        <v>0</v>
      </c>
      <c r="BE70" s="24"/>
      <c r="BF70" s="28">
        <f>59650</f>
        <v>59650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4">
        <f>59650</f>
        <v>59650</v>
      </c>
      <c r="BO70" s="24"/>
      <c r="BP70" s="24"/>
      <c r="BQ70" s="27" t="s">
        <v>71</v>
      </c>
    </row>
    <row r="71" spans="1:69" s="1" customFormat="1" ht="33.75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2"/>
        <v>0</v>
      </c>
      <c r="V71" s="24"/>
      <c r="W71" s="24"/>
      <c r="X71" s="25" t="s">
        <v>71</v>
      </c>
      <c r="Y71" s="25"/>
      <c r="Z71" s="25"/>
      <c r="AA71" s="25"/>
      <c r="AB71" s="24">
        <f t="shared" si="3"/>
        <v>0</v>
      </c>
      <c r="AC71" s="24"/>
      <c r="AD71" s="24"/>
      <c r="AE71" s="28">
        <f>238636</f>
        <v>238636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238636</f>
        <v>238636</v>
      </c>
      <c r="AU71" s="24"/>
      <c r="AV71" s="24"/>
      <c r="AW71" s="25" t="s">
        <v>71</v>
      </c>
      <c r="AX71" s="25"/>
      <c r="AY71" s="24">
        <f>0</f>
        <v>0</v>
      </c>
      <c r="AZ71" s="24"/>
      <c r="BA71" s="25" t="s">
        <v>71</v>
      </c>
      <c r="BB71" s="25"/>
      <c r="BC71" s="25"/>
      <c r="BD71" s="24">
        <f>0</f>
        <v>0</v>
      </c>
      <c r="BE71" s="24"/>
      <c r="BF71" s="28">
        <f>59650</f>
        <v>59650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59650</f>
        <v>59650</v>
      </c>
      <c r="BO71" s="24"/>
      <c r="BP71" s="24"/>
      <c r="BQ71" s="27" t="s">
        <v>71</v>
      </c>
    </row>
    <row r="72" spans="1:69" s="1" customFormat="1" ht="13.5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>50000</f>
        <v>50000</v>
      </c>
      <c r="V72" s="24"/>
      <c r="W72" s="24"/>
      <c r="X72" s="25" t="s">
        <v>71</v>
      </c>
      <c r="Y72" s="25"/>
      <c r="Z72" s="25"/>
      <c r="AA72" s="25"/>
      <c r="AB72" s="24">
        <f>50000</f>
        <v>50000</v>
      </c>
      <c r="AC72" s="24"/>
      <c r="AD72" s="24"/>
      <c r="AE72" s="26" t="s">
        <v>71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50000</f>
        <v>50000</v>
      </c>
      <c r="AU72" s="24"/>
      <c r="AV72" s="24"/>
      <c r="AW72" s="25" t="s">
        <v>71</v>
      </c>
      <c r="AX72" s="25"/>
      <c r="AY72" s="25" t="s">
        <v>71</v>
      </c>
      <c r="AZ72" s="25"/>
      <c r="BA72" s="25" t="s">
        <v>71</v>
      </c>
      <c r="BB72" s="25"/>
      <c r="BC72" s="25"/>
      <c r="BD72" s="25" t="s">
        <v>71</v>
      </c>
      <c r="BE72" s="25"/>
      <c r="BF72" s="26" t="s">
        <v>71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5" t="s">
        <v>71</v>
      </c>
      <c r="BO72" s="25"/>
      <c r="BP72" s="25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>50000</f>
        <v>50000</v>
      </c>
      <c r="V73" s="24"/>
      <c r="W73" s="24"/>
      <c r="X73" s="25" t="s">
        <v>71</v>
      </c>
      <c r="Y73" s="25"/>
      <c r="Z73" s="25"/>
      <c r="AA73" s="25"/>
      <c r="AB73" s="24">
        <f>50000</f>
        <v>50000</v>
      </c>
      <c r="AC73" s="24"/>
      <c r="AD73" s="24"/>
      <c r="AE73" s="26" t="s">
        <v>71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50000</f>
        <v>50000</v>
      </c>
      <c r="AU73" s="24"/>
      <c r="AV73" s="24"/>
      <c r="AW73" s="25" t="s">
        <v>71</v>
      </c>
      <c r="AX73" s="25"/>
      <c r="AY73" s="25" t="s">
        <v>71</v>
      </c>
      <c r="AZ73" s="25"/>
      <c r="BA73" s="25" t="s">
        <v>71</v>
      </c>
      <c r="BB73" s="25"/>
      <c r="BC73" s="25"/>
      <c r="BD73" s="25" t="s">
        <v>71</v>
      </c>
      <c r="BE73" s="25"/>
      <c r="BF73" s="26" t="s">
        <v>71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5" t="s">
        <v>71</v>
      </c>
      <c r="BO73" s="25"/>
      <c r="BP73" s="25"/>
      <c r="BQ73" s="27" t="s">
        <v>71</v>
      </c>
    </row>
    <row r="74" spans="1:69" s="1" customFormat="1" ht="24" customHeight="1">
      <c r="A74" s="16" t="s">
        <v>189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191</v>
      </c>
      <c r="Q74" s="23"/>
      <c r="R74" s="23"/>
      <c r="S74" s="23"/>
      <c r="T74" s="23"/>
      <c r="U74" s="24">
        <f>50000</f>
        <v>50000</v>
      </c>
      <c r="V74" s="24"/>
      <c r="W74" s="24"/>
      <c r="X74" s="25" t="s">
        <v>71</v>
      </c>
      <c r="Y74" s="25"/>
      <c r="Z74" s="25"/>
      <c r="AA74" s="25"/>
      <c r="AB74" s="24">
        <f>50000</f>
        <v>50000</v>
      </c>
      <c r="AC74" s="24"/>
      <c r="AD74" s="24"/>
      <c r="AE74" s="26" t="s">
        <v>71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50000</f>
        <v>50000</v>
      </c>
      <c r="AU74" s="24"/>
      <c r="AV74" s="24"/>
      <c r="AW74" s="25" t="s">
        <v>71</v>
      </c>
      <c r="AX74" s="25"/>
      <c r="AY74" s="25" t="s">
        <v>71</v>
      </c>
      <c r="AZ74" s="25"/>
      <c r="BA74" s="25" t="s">
        <v>71</v>
      </c>
      <c r="BB74" s="25"/>
      <c r="BC74" s="25"/>
      <c r="BD74" s="25" t="s">
        <v>71</v>
      </c>
      <c r="BE74" s="25"/>
      <c r="BF74" s="26" t="s">
        <v>71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5" t="s">
        <v>71</v>
      </c>
      <c r="BO74" s="25"/>
      <c r="BP74" s="25"/>
      <c r="BQ74" s="27" t="s">
        <v>71</v>
      </c>
    </row>
    <row r="75" spans="1:69" s="1" customFormat="1" ht="13.5" customHeight="1">
      <c r="A75" s="29" t="s">
        <v>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 t="s">
        <v>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</row>
    <row r="76" spans="1:69" s="1" customFormat="1" ht="15.75" customHeight="1">
      <c r="A76" s="12" t="s">
        <v>192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</row>
    <row r="77" spans="1:69" s="1" customFormat="1" ht="28.5" customHeight="1">
      <c r="A77" s="3" t="s">
        <v>21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 t="s">
        <v>22</v>
      </c>
      <c r="N77" s="3"/>
      <c r="O77" s="3"/>
      <c r="P77" s="3" t="s">
        <v>23</v>
      </c>
      <c r="Q77" s="3"/>
      <c r="R77" s="3"/>
      <c r="S77" s="3"/>
      <c r="T77" s="3"/>
      <c r="U77" s="3" t="s">
        <v>24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 t="s">
        <v>38</v>
      </c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s="1" customFormat="1" ht="126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3" t="s">
        <v>25</v>
      </c>
      <c r="V78" s="13"/>
      <c r="W78" s="13"/>
      <c r="X78" s="13" t="s">
        <v>26</v>
      </c>
      <c r="Y78" s="13"/>
      <c r="Z78" s="13"/>
      <c r="AA78" s="13"/>
      <c r="AB78" s="13" t="s">
        <v>27</v>
      </c>
      <c r="AC78" s="13"/>
      <c r="AD78" s="13"/>
      <c r="AE78" s="14" t="s">
        <v>28</v>
      </c>
      <c r="AF78" s="14" t="s">
        <v>29</v>
      </c>
      <c r="AG78" s="13" t="s">
        <v>30</v>
      </c>
      <c r="AH78" s="13"/>
      <c r="AI78" s="13"/>
      <c r="AJ78" s="13" t="s">
        <v>31</v>
      </c>
      <c r="AK78" s="13"/>
      <c r="AL78" s="13" t="s">
        <v>32</v>
      </c>
      <c r="AM78" s="13"/>
      <c r="AN78" s="13" t="s">
        <v>33</v>
      </c>
      <c r="AO78" s="13"/>
      <c r="AP78" s="13" t="s">
        <v>34</v>
      </c>
      <c r="AQ78" s="13"/>
      <c r="AR78" s="13"/>
      <c r="AS78" s="14" t="s">
        <v>35</v>
      </c>
      <c r="AT78" s="13" t="s">
        <v>36</v>
      </c>
      <c r="AU78" s="13"/>
      <c r="AV78" s="13"/>
      <c r="AW78" s="13" t="s">
        <v>37</v>
      </c>
      <c r="AX78" s="13"/>
      <c r="AY78" s="13" t="s">
        <v>25</v>
      </c>
      <c r="AZ78" s="13"/>
      <c r="BA78" s="13" t="s">
        <v>26</v>
      </c>
      <c r="BB78" s="13"/>
      <c r="BC78" s="13"/>
      <c r="BD78" s="13" t="s">
        <v>27</v>
      </c>
      <c r="BE78" s="13"/>
      <c r="BF78" s="14" t="s">
        <v>28</v>
      </c>
      <c r="BG78" s="14" t="s">
        <v>29</v>
      </c>
      <c r="BH78" s="14" t="s">
        <v>30</v>
      </c>
      <c r="BI78" s="14" t="s">
        <v>31</v>
      </c>
      <c r="BJ78" s="14" t="s">
        <v>32</v>
      </c>
      <c r="BK78" s="14" t="s">
        <v>33</v>
      </c>
      <c r="BL78" s="14" t="s">
        <v>34</v>
      </c>
      <c r="BM78" s="14" t="s">
        <v>35</v>
      </c>
      <c r="BN78" s="13" t="s">
        <v>36</v>
      </c>
      <c r="BO78" s="13"/>
      <c r="BP78" s="13"/>
      <c r="BQ78" s="14" t="s">
        <v>37</v>
      </c>
    </row>
    <row r="79" spans="1:69" s="1" customFormat="1" ht="13.5" customHeight="1">
      <c r="A79" s="3" t="s">
        <v>39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 t="s">
        <v>40</v>
      </c>
      <c r="N79" s="3"/>
      <c r="O79" s="3"/>
      <c r="P79" s="3" t="s">
        <v>41</v>
      </c>
      <c r="Q79" s="3"/>
      <c r="R79" s="3"/>
      <c r="S79" s="3"/>
      <c r="T79" s="3"/>
      <c r="U79" s="3" t="s">
        <v>42</v>
      </c>
      <c r="V79" s="3"/>
      <c r="W79" s="3"/>
      <c r="X79" s="3" t="s">
        <v>43</v>
      </c>
      <c r="Y79" s="3"/>
      <c r="Z79" s="3"/>
      <c r="AA79" s="3"/>
      <c r="AB79" s="3" t="s">
        <v>44</v>
      </c>
      <c r="AC79" s="3"/>
      <c r="AD79" s="3"/>
      <c r="AE79" s="15" t="s">
        <v>45</v>
      </c>
      <c r="AF79" s="15" t="s">
        <v>46</v>
      </c>
      <c r="AG79" s="3" t="s">
        <v>47</v>
      </c>
      <c r="AH79" s="3"/>
      <c r="AI79" s="3"/>
      <c r="AJ79" s="3" t="s">
        <v>48</v>
      </c>
      <c r="AK79" s="3"/>
      <c r="AL79" s="3" t="s">
        <v>49</v>
      </c>
      <c r="AM79" s="3"/>
      <c r="AN79" s="3" t="s">
        <v>50</v>
      </c>
      <c r="AO79" s="3"/>
      <c r="AP79" s="3" t="s">
        <v>51</v>
      </c>
      <c r="AQ79" s="3"/>
      <c r="AR79" s="3"/>
      <c r="AS79" s="15" t="s">
        <v>52</v>
      </c>
      <c r="AT79" s="3" t="s">
        <v>53</v>
      </c>
      <c r="AU79" s="3"/>
      <c r="AV79" s="3"/>
      <c r="AW79" s="3" t="s">
        <v>54</v>
      </c>
      <c r="AX79" s="3"/>
      <c r="AY79" s="3" t="s">
        <v>55</v>
      </c>
      <c r="AZ79" s="3"/>
      <c r="BA79" s="3" t="s">
        <v>56</v>
      </c>
      <c r="BB79" s="3"/>
      <c r="BC79" s="3"/>
      <c r="BD79" s="3" t="s">
        <v>57</v>
      </c>
      <c r="BE79" s="3"/>
      <c r="BF79" s="15" t="s">
        <v>58</v>
      </c>
      <c r="BG79" s="15" t="s">
        <v>59</v>
      </c>
      <c r="BH79" s="15" t="s">
        <v>60</v>
      </c>
      <c r="BI79" s="15" t="s">
        <v>61</v>
      </c>
      <c r="BJ79" s="15" t="s">
        <v>62</v>
      </c>
      <c r="BK79" s="15" t="s">
        <v>63</v>
      </c>
      <c r="BL79" s="15" t="s">
        <v>64</v>
      </c>
      <c r="BM79" s="15" t="s">
        <v>65</v>
      </c>
      <c r="BN79" s="3" t="s">
        <v>66</v>
      </c>
      <c r="BO79" s="3"/>
      <c r="BP79" s="3"/>
      <c r="BQ79" s="15" t="s">
        <v>67</v>
      </c>
    </row>
    <row r="80" spans="1:69" s="1" customFormat="1" ht="24" customHeight="1">
      <c r="A80" s="16" t="s">
        <v>193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 t="s">
        <v>194</v>
      </c>
      <c r="N80" s="17"/>
      <c r="O80" s="17"/>
      <c r="P80" s="17" t="s">
        <v>70</v>
      </c>
      <c r="Q80" s="17"/>
      <c r="R80" s="17"/>
      <c r="S80" s="17"/>
      <c r="T80" s="17"/>
      <c r="U80" s="18">
        <f>38131509.46</f>
        <v>38131509.46</v>
      </c>
      <c r="V80" s="18"/>
      <c r="W80" s="18"/>
      <c r="X80" s="19" t="s">
        <v>71</v>
      </c>
      <c r="Y80" s="19"/>
      <c r="Z80" s="19"/>
      <c r="AA80" s="19"/>
      <c r="AB80" s="18">
        <f>38131509.46</f>
        <v>38131509.46</v>
      </c>
      <c r="AC80" s="18"/>
      <c r="AD80" s="18"/>
      <c r="AE80" s="20">
        <f>661363</f>
        <v>661363</v>
      </c>
      <c r="AF80" s="21" t="s">
        <v>71</v>
      </c>
      <c r="AG80" s="19" t="s">
        <v>71</v>
      </c>
      <c r="AH80" s="19"/>
      <c r="AI80" s="19"/>
      <c r="AJ80" s="19" t="s">
        <v>71</v>
      </c>
      <c r="AK80" s="19"/>
      <c r="AL80" s="19" t="s">
        <v>71</v>
      </c>
      <c r="AM80" s="19"/>
      <c r="AN80" s="19" t="s">
        <v>71</v>
      </c>
      <c r="AO80" s="19"/>
      <c r="AP80" s="19" t="s">
        <v>71</v>
      </c>
      <c r="AQ80" s="19"/>
      <c r="AR80" s="19"/>
      <c r="AS80" s="21" t="s">
        <v>71</v>
      </c>
      <c r="AT80" s="18">
        <f>38792872.46</f>
        <v>38792872.46</v>
      </c>
      <c r="AU80" s="18"/>
      <c r="AV80" s="18"/>
      <c r="AW80" s="19" t="s">
        <v>71</v>
      </c>
      <c r="AX80" s="19"/>
      <c r="AY80" s="18">
        <f>3636304.01</f>
        <v>3636304.01</v>
      </c>
      <c r="AZ80" s="18"/>
      <c r="BA80" s="19" t="s">
        <v>71</v>
      </c>
      <c r="BB80" s="19"/>
      <c r="BC80" s="19"/>
      <c r="BD80" s="18">
        <f>3636304.01</f>
        <v>3636304.01</v>
      </c>
      <c r="BE80" s="18"/>
      <c r="BF80" s="20">
        <f>21666</f>
        <v>21666</v>
      </c>
      <c r="BG80" s="21" t="s">
        <v>71</v>
      </c>
      <c r="BH80" s="21" t="s">
        <v>71</v>
      </c>
      <c r="BI80" s="21" t="s">
        <v>71</v>
      </c>
      <c r="BJ80" s="21" t="s">
        <v>71</v>
      </c>
      <c r="BK80" s="21" t="s">
        <v>71</v>
      </c>
      <c r="BL80" s="21" t="s">
        <v>71</v>
      </c>
      <c r="BM80" s="21" t="s">
        <v>71</v>
      </c>
      <c r="BN80" s="18">
        <f>3657970.01</f>
        <v>3657970.01</v>
      </c>
      <c r="BO80" s="18"/>
      <c r="BP80" s="18"/>
      <c r="BQ80" s="22" t="s">
        <v>71</v>
      </c>
    </row>
    <row r="81" spans="1:69" s="1" customFormat="1" ht="13.5" customHeight="1">
      <c r="A81" s="16" t="s">
        <v>195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194</v>
      </c>
      <c r="N81" s="23"/>
      <c r="O81" s="23"/>
      <c r="P81" s="31" t="s">
        <v>196</v>
      </c>
      <c r="Q81" s="31"/>
      <c r="R81" s="31"/>
      <c r="S81" s="31"/>
      <c r="T81" s="31"/>
      <c r="U81" s="24">
        <f>12932862</f>
        <v>12932862</v>
      </c>
      <c r="V81" s="24"/>
      <c r="W81" s="24"/>
      <c r="X81" s="25" t="s">
        <v>71</v>
      </c>
      <c r="Y81" s="25"/>
      <c r="Z81" s="25"/>
      <c r="AA81" s="25"/>
      <c r="AB81" s="24">
        <f>12932862</f>
        <v>12932862</v>
      </c>
      <c r="AC81" s="24"/>
      <c r="AD81" s="24"/>
      <c r="AE81" s="28">
        <f>138504</f>
        <v>138504</v>
      </c>
      <c r="AF81" s="26" t="s">
        <v>71</v>
      </c>
      <c r="AG81" s="25" t="s">
        <v>71</v>
      </c>
      <c r="AH81" s="25"/>
      <c r="AI81" s="25"/>
      <c r="AJ81" s="25" t="s">
        <v>71</v>
      </c>
      <c r="AK81" s="25"/>
      <c r="AL81" s="25" t="s">
        <v>71</v>
      </c>
      <c r="AM81" s="25"/>
      <c r="AN81" s="25" t="s">
        <v>71</v>
      </c>
      <c r="AO81" s="25"/>
      <c r="AP81" s="25" t="s">
        <v>71</v>
      </c>
      <c r="AQ81" s="25"/>
      <c r="AR81" s="25"/>
      <c r="AS81" s="26" t="s">
        <v>71</v>
      </c>
      <c r="AT81" s="24">
        <f>13071366</f>
        <v>13071366</v>
      </c>
      <c r="AU81" s="24"/>
      <c r="AV81" s="24"/>
      <c r="AW81" s="25" t="s">
        <v>71</v>
      </c>
      <c r="AX81" s="25"/>
      <c r="AY81" s="24">
        <f>2164596.91</f>
        <v>2164596.91</v>
      </c>
      <c r="AZ81" s="24"/>
      <c r="BA81" s="25" t="s">
        <v>71</v>
      </c>
      <c r="BB81" s="25"/>
      <c r="BC81" s="25"/>
      <c r="BD81" s="24">
        <f>2164596.91</f>
        <v>2164596.91</v>
      </c>
      <c r="BE81" s="24"/>
      <c r="BF81" s="28">
        <f>21666</f>
        <v>21666</v>
      </c>
      <c r="BG81" s="26" t="s">
        <v>71</v>
      </c>
      <c r="BH81" s="26" t="s">
        <v>71</v>
      </c>
      <c r="BI81" s="26" t="s">
        <v>71</v>
      </c>
      <c r="BJ81" s="26" t="s">
        <v>71</v>
      </c>
      <c r="BK81" s="26" t="s">
        <v>71</v>
      </c>
      <c r="BL81" s="26" t="s">
        <v>71</v>
      </c>
      <c r="BM81" s="26" t="s">
        <v>71</v>
      </c>
      <c r="BN81" s="24">
        <f>2186262.91</f>
        <v>2186262.91</v>
      </c>
      <c r="BO81" s="24"/>
      <c r="BP81" s="24"/>
      <c r="BQ81" s="27" t="s">
        <v>71</v>
      </c>
    </row>
    <row r="82" spans="1:69" s="1" customFormat="1" ht="33.75" customHeight="1">
      <c r="A82" s="16" t="s">
        <v>197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194</v>
      </c>
      <c r="N82" s="23"/>
      <c r="O82" s="23"/>
      <c r="P82" s="31" t="s">
        <v>198</v>
      </c>
      <c r="Q82" s="31"/>
      <c r="R82" s="31"/>
      <c r="S82" s="31"/>
      <c r="T82" s="31"/>
      <c r="U82" s="24">
        <f>1023929</f>
        <v>1023929</v>
      </c>
      <c r="V82" s="24"/>
      <c r="W82" s="24"/>
      <c r="X82" s="25" t="s">
        <v>71</v>
      </c>
      <c r="Y82" s="25"/>
      <c r="Z82" s="25"/>
      <c r="AA82" s="25"/>
      <c r="AB82" s="24">
        <f>1023929</f>
        <v>1023929</v>
      </c>
      <c r="AC82" s="24"/>
      <c r="AD82" s="24"/>
      <c r="AE82" s="26" t="s">
        <v>71</v>
      </c>
      <c r="AF82" s="26" t="s">
        <v>71</v>
      </c>
      <c r="AG82" s="25" t="s">
        <v>71</v>
      </c>
      <c r="AH82" s="25"/>
      <c r="AI82" s="25"/>
      <c r="AJ82" s="25" t="s">
        <v>71</v>
      </c>
      <c r="AK82" s="25"/>
      <c r="AL82" s="25" t="s">
        <v>71</v>
      </c>
      <c r="AM82" s="25"/>
      <c r="AN82" s="25" t="s">
        <v>71</v>
      </c>
      <c r="AO82" s="25"/>
      <c r="AP82" s="25" t="s">
        <v>71</v>
      </c>
      <c r="AQ82" s="25"/>
      <c r="AR82" s="25"/>
      <c r="AS82" s="26" t="s">
        <v>71</v>
      </c>
      <c r="AT82" s="24">
        <f>1023929</f>
        <v>1023929</v>
      </c>
      <c r="AU82" s="24"/>
      <c r="AV82" s="24"/>
      <c r="AW82" s="25" t="s">
        <v>71</v>
      </c>
      <c r="AX82" s="25"/>
      <c r="AY82" s="24">
        <f>148682.53</f>
        <v>148682.53</v>
      </c>
      <c r="AZ82" s="24"/>
      <c r="BA82" s="25" t="s">
        <v>71</v>
      </c>
      <c r="BB82" s="25"/>
      <c r="BC82" s="25"/>
      <c r="BD82" s="24">
        <f>148682.53</f>
        <v>148682.53</v>
      </c>
      <c r="BE82" s="24"/>
      <c r="BF82" s="26" t="s">
        <v>71</v>
      </c>
      <c r="BG82" s="26" t="s">
        <v>71</v>
      </c>
      <c r="BH82" s="26" t="s">
        <v>71</v>
      </c>
      <c r="BI82" s="26" t="s">
        <v>71</v>
      </c>
      <c r="BJ82" s="26" t="s">
        <v>71</v>
      </c>
      <c r="BK82" s="26" t="s">
        <v>71</v>
      </c>
      <c r="BL82" s="26" t="s">
        <v>71</v>
      </c>
      <c r="BM82" s="26" t="s">
        <v>71</v>
      </c>
      <c r="BN82" s="24">
        <f>148682.53</f>
        <v>148682.53</v>
      </c>
      <c r="BO82" s="24"/>
      <c r="BP82" s="24"/>
      <c r="BQ82" s="27" t="s">
        <v>71</v>
      </c>
    </row>
    <row r="83" spans="1:69" s="1" customFormat="1" ht="54.75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194</v>
      </c>
      <c r="N83" s="23"/>
      <c r="O83" s="23"/>
      <c r="P83" s="31" t="s">
        <v>200</v>
      </c>
      <c r="Q83" s="31"/>
      <c r="R83" s="31"/>
      <c r="S83" s="31"/>
      <c r="T83" s="31"/>
      <c r="U83" s="24">
        <f>1023929</f>
        <v>1023929</v>
      </c>
      <c r="V83" s="24"/>
      <c r="W83" s="24"/>
      <c r="X83" s="25" t="s">
        <v>71</v>
      </c>
      <c r="Y83" s="25"/>
      <c r="Z83" s="25"/>
      <c r="AA83" s="25"/>
      <c r="AB83" s="24">
        <f>1023929</f>
        <v>1023929</v>
      </c>
      <c r="AC83" s="24"/>
      <c r="AD83" s="24"/>
      <c r="AE83" s="26" t="s">
        <v>71</v>
      </c>
      <c r="AF83" s="26" t="s">
        <v>71</v>
      </c>
      <c r="AG83" s="25" t="s">
        <v>71</v>
      </c>
      <c r="AH83" s="25"/>
      <c r="AI83" s="25"/>
      <c r="AJ83" s="25" t="s">
        <v>71</v>
      </c>
      <c r="AK83" s="25"/>
      <c r="AL83" s="25" t="s">
        <v>71</v>
      </c>
      <c r="AM83" s="25"/>
      <c r="AN83" s="25" t="s">
        <v>71</v>
      </c>
      <c r="AO83" s="25"/>
      <c r="AP83" s="25" t="s">
        <v>71</v>
      </c>
      <c r="AQ83" s="25"/>
      <c r="AR83" s="25"/>
      <c r="AS83" s="26" t="s">
        <v>71</v>
      </c>
      <c r="AT83" s="24">
        <f>1023929</f>
        <v>1023929</v>
      </c>
      <c r="AU83" s="24"/>
      <c r="AV83" s="24"/>
      <c r="AW83" s="25" t="s">
        <v>71</v>
      </c>
      <c r="AX83" s="25"/>
      <c r="AY83" s="24">
        <f>148682.53</f>
        <v>148682.53</v>
      </c>
      <c r="AZ83" s="24"/>
      <c r="BA83" s="25" t="s">
        <v>71</v>
      </c>
      <c r="BB83" s="25"/>
      <c r="BC83" s="25"/>
      <c r="BD83" s="24">
        <f>148682.53</f>
        <v>148682.53</v>
      </c>
      <c r="BE83" s="24"/>
      <c r="BF83" s="26" t="s">
        <v>71</v>
      </c>
      <c r="BG83" s="26" t="s">
        <v>71</v>
      </c>
      <c r="BH83" s="26" t="s">
        <v>71</v>
      </c>
      <c r="BI83" s="26" t="s">
        <v>71</v>
      </c>
      <c r="BJ83" s="26" t="s">
        <v>71</v>
      </c>
      <c r="BK83" s="26" t="s">
        <v>71</v>
      </c>
      <c r="BL83" s="26" t="s">
        <v>71</v>
      </c>
      <c r="BM83" s="26" t="s">
        <v>71</v>
      </c>
      <c r="BN83" s="24">
        <f>148682.53</f>
        <v>148682.53</v>
      </c>
      <c r="BO83" s="24"/>
      <c r="BP83" s="24"/>
      <c r="BQ83" s="27" t="s">
        <v>71</v>
      </c>
    </row>
    <row r="84" spans="1:69" s="1" customFormat="1" ht="24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194</v>
      </c>
      <c r="N84" s="23"/>
      <c r="O84" s="23"/>
      <c r="P84" s="31" t="s">
        <v>202</v>
      </c>
      <c r="Q84" s="31"/>
      <c r="R84" s="31"/>
      <c r="S84" s="31"/>
      <c r="T84" s="31"/>
      <c r="U84" s="24">
        <f>1023929</f>
        <v>1023929</v>
      </c>
      <c r="V84" s="24"/>
      <c r="W84" s="24"/>
      <c r="X84" s="25" t="s">
        <v>71</v>
      </c>
      <c r="Y84" s="25"/>
      <c r="Z84" s="25"/>
      <c r="AA84" s="25"/>
      <c r="AB84" s="24">
        <f>1023929</f>
        <v>1023929</v>
      </c>
      <c r="AC84" s="24"/>
      <c r="AD84" s="24"/>
      <c r="AE84" s="26" t="s">
        <v>71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1023929</f>
        <v>1023929</v>
      </c>
      <c r="AU84" s="24"/>
      <c r="AV84" s="24"/>
      <c r="AW84" s="25" t="s">
        <v>71</v>
      </c>
      <c r="AX84" s="25"/>
      <c r="AY84" s="24">
        <f>148682.53</f>
        <v>148682.53</v>
      </c>
      <c r="AZ84" s="24"/>
      <c r="BA84" s="25" t="s">
        <v>71</v>
      </c>
      <c r="BB84" s="25"/>
      <c r="BC84" s="25"/>
      <c r="BD84" s="24">
        <f>148682.53</f>
        <v>148682.53</v>
      </c>
      <c r="BE84" s="24"/>
      <c r="BF84" s="26" t="s">
        <v>71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148682.53</f>
        <v>148682.53</v>
      </c>
      <c r="BO84" s="24"/>
      <c r="BP84" s="24"/>
      <c r="BQ84" s="27" t="s">
        <v>71</v>
      </c>
    </row>
    <row r="85" spans="1:69" s="1" customFormat="1" ht="24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194</v>
      </c>
      <c r="N85" s="23"/>
      <c r="O85" s="23"/>
      <c r="P85" s="31" t="s">
        <v>204</v>
      </c>
      <c r="Q85" s="31"/>
      <c r="R85" s="31"/>
      <c r="S85" s="31"/>
      <c r="T85" s="31"/>
      <c r="U85" s="24">
        <f>786428</f>
        <v>786428</v>
      </c>
      <c r="V85" s="24"/>
      <c r="W85" s="24"/>
      <c r="X85" s="25" t="s">
        <v>71</v>
      </c>
      <c r="Y85" s="25"/>
      <c r="Z85" s="25"/>
      <c r="AA85" s="25"/>
      <c r="AB85" s="24">
        <f>786428</f>
        <v>786428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786428</f>
        <v>786428</v>
      </c>
      <c r="AU85" s="24"/>
      <c r="AV85" s="24"/>
      <c r="AW85" s="25" t="s">
        <v>71</v>
      </c>
      <c r="AX85" s="25"/>
      <c r="AY85" s="24">
        <f>126223.53</f>
        <v>126223.53</v>
      </c>
      <c r="AZ85" s="24"/>
      <c r="BA85" s="25" t="s">
        <v>71</v>
      </c>
      <c r="BB85" s="25"/>
      <c r="BC85" s="25"/>
      <c r="BD85" s="24">
        <f>126223.53</f>
        <v>126223.53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126223.53</f>
        <v>126223.53</v>
      </c>
      <c r="BO85" s="24"/>
      <c r="BP85" s="24"/>
      <c r="BQ85" s="27" t="s">
        <v>71</v>
      </c>
    </row>
    <row r="86" spans="1:69" s="1" customFormat="1" ht="33.75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194</v>
      </c>
      <c r="N86" s="23"/>
      <c r="O86" s="23"/>
      <c r="P86" s="31" t="s">
        <v>206</v>
      </c>
      <c r="Q86" s="31"/>
      <c r="R86" s="31"/>
      <c r="S86" s="31"/>
      <c r="T86" s="31"/>
      <c r="U86" s="24">
        <f>237501</f>
        <v>237501</v>
      </c>
      <c r="V86" s="24"/>
      <c r="W86" s="24"/>
      <c r="X86" s="25" t="s">
        <v>71</v>
      </c>
      <c r="Y86" s="25"/>
      <c r="Z86" s="25"/>
      <c r="AA86" s="25"/>
      <c r="AB86" s="24">
        <f>237501</f>
        <v>237501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237501</f>
        <v>237501</v>
      </c>
      <c r="AU86" s="24"/>
      <c r="AV86" s="24"/>
      <c r="AW86" s="25" t="s">
        <v>71</v>
      </c>
      <c r="AX86" s="25"/>
      <c r="AY86" s="24">
        <f>22459</f>
        <v>22459</v>
      </c>
      <c r="AZ86" s="24"/>
      <c r="BA86" s="25" t="s">
        <v>71</v>
      </c>
      <c r="BB86" s="25"/>
      <c r="BC86" s="25"/>
      <c r="BD86" s="24">
        <f>22459</f>
        <v>22459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22459</f>
        <v>22459</v>
      </c>
      <c r="BO86" s="24"/>
      <c r="BP86" s="24"/>
      <c r="BQ86" s="27" t="s">
        <v>71</v>
      </c>
    </row>
    <row r="87" spans="1:69" s="1" customFormat="1" ht="45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194</v>
      </c>
      <c r="N87" s="23"/>
      <c r="O87" s="23"/>
      <c r="P87" s="31" t="s">
        <v>208</v>
      </c>
      <c r="Q87" s="31"/>
      <c r="R87" s="31"/>
      <c r="S87" s="31"/>
      <c r="T87" s="31"/>
      <c r="U87" s="24">
        <f>5669736</f>
        <v>5669736</v>
      </c>
      <c r="V87" s="24"/>
      <c r="W87" s="24"/>
      <c r="X87" s="25" t="s">
        <v>71</v>
      </c>
      <c r="Y87" s="25"/>
      <c r="Z87" s="25"/>
      <c r="AA87" s="25"/>
      <c r="AB87" s="24">
        <f>5669736</f>
        <v>5669736</v>
      </c>
      <c r="AC87" s="24"/>
      <c r="AD87" s="24"/>
      <c r="AE87" s="28">
        <f>51840</f>
        <v>51840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5721576</f>
        <v>5721576</v>
      </c>
      <c r="AU87" s="24"/>
      <c r="AV87" s="24"/>
      <c r="AW87" s="25" t="s">
        <v>71</v>
      </c>
      <c r="AX87" s="25"/>
      <c r="AY87" s="24">
        <f>1034705.95</f>
        <v>1034705.95</v>
      </c>
      <c r="AZ87" s="24"/>
      <c r="BA87" s="25" t="s">
        <v>71</v>
      </c>
      <c r="BB87" s="25"/>
      <c r="BC87" s="25"/>
      <c r="BD87" s="24">
        <f>1034705.95</f>
        <v>1034705.95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1034705.95</f>
        <v>1034705.95</v>
      </c>
      <c r="BO87" s="24"/>
      <c r="BP87" s="24"/>
      <c r="BQ87" s="27" t="s">
        <v>71</v>
      </c>
    </row>
    <row r="88" spans="1:69" s="1" customFormat="1" ht="54.75" customHeight="1">
      <c r="A88" s="16" t="s">
        <v>199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194</v>
      </c>
      <c r="N88" s="23"/>
      <c r="O88" s="23"/>
      <c r="P88" s="31" t="s">
        <v>209</v>
      </c>
      <c r="Q88" s="31"/>
      <c r="R88" s="31"/>
      <c r="S88" s="31"/>
      <c r="T88" s="31"/>
      <c r="U88" s="24">
        <f>4223347</f>
        <v>4223347</v>
      </c>
      <c r="V88" s="24"/>
      <c r="W88" s="24"/>
      <c r="X88" s="25" t="s">
        <v>71</v>
      </c>
      <c r="Y88" s="25"/>
      <c r="Z88" s="25"/>
      <c r="AA88" s="25"/>
      <c r="AB88" s="24">
        <f>4223347</f>
        <v>4223347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4223347</f>
        <v>4223347</v>
      </c>
      <c r="AU88" s="24"/>
      <c r="AV88" s="24"/>
      <c r="AW88" s="25" t="s">
        <v>71</v>
      </c>
      <c r="AX88" s="25"/>
      <c r="AY88" s="24">
        <f>792461.7</f>
        <v>792461.7</v>
      </c>
      <c r="AZ88" s="24"/>
      <c r="BA88" s="25" t="s">
        <v>71</v>
      </c>
      <c r="BB88" s="25"/>
      <c r="BC88" s="25"/>
      <c r="BD88" s="24">
        <f>792461.7</f>
        <v>792461.7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792461.7</f>
        <v>792461.7</v>
      </c>
      <c r="BO88" s="24"/>
      <c r="BP88" s="24"/>
      <c r="BQ88" s="27" t="s">
        <v>71</v>
      </c>
    </row>
    <row r="89" spans="1:69" s="1" customFormat="1" ht="24" customHeight="1">
      <c r="A89" s="16" t="s">
        <v>201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194</v>
      </c>
      <c r="N89" s="23"/>
      <c r="O89" s="23"/>
      <c r="P89" s="31" t="s">
        <v>210</v>
      </c>
      <c r="Q89" s="31"/>
      <c r="R89" s="31"/>
      <c r="S89" s="31"/>
      <c r="T89" s="31"/>
      <c r="U89" s="24">
        <f>4223347</f>
        <v>4223347</v>
      </c>
      <c r="V89" s="24"/>
      <c r="W89" s="24"/>
      <c r="X89" s="25" t="s">
        <v>71</v>
      </c>
      <c r="Y89" s="25"/>
      <c r="Z89" s="25"/>
      <c r="AA89" s="25"/>
      <c r="AB89" s="24">
        <f>4223347</f>
        <v>4223347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4223347</f>
        <v>4223347</v>
      </c>
      <c r="AU89" s="24"/>
      <c r="AV89" s="24"/>
      <c r="AW89" s="25" t="s">
        <v>71</v>
      </c>
      <c r="AX89" s="25"/>
      <c r="AY89" s="24">
        <f>792461.7</f>
        <v>792461.7</v>
      </c>
      <c r="AZ89" s="24"/>
      <c r="BA89" s="25" t="s">
        <v>71</v>
      </c>
      <c r="BB89" s="25"/>
      <c r="BC89" s="25"/>
      <c r="BD89" s="24">
        <f>792461.7</f>
        <v>792461.7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792461.7</f>
        <v>792461.7</v>
      </c>
      <c r="BO89" s="24"/>
      <c r="BP89" s="24"/>
      <c r="BQ89" s="27" t="s">
        <v>71</v>
      </c>
    </row>
    <row r="90" spans="1:69" s="1" customFormat="1" ht="24" customHeight="1">
      <c r="A90" s="16" t="s">
        <v>203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194</v>
      </c>
      <c r="N90" s="23"/>
      <c r="O90" s="23"/>
      <c r="P90" s="31" t="s">
        <v>211</v>
      </c>
      <c r="Q90" s="31"/>
      <c r="R90" s="31"/>
      <c r="S90" s="31"/>
      <c r="T90" s="31"/>
      <c r="U90" s="24">
        <f>3243738</f>
        <v>3243738</v>
      </c>
      <c r="V90" s="24"/>
      <c r="W90" s="24"/>
      <c r="X90" s="25" t="s">
        <v>71</v>
      </c>
      <c r="Y90" s="25"/>
      <c r="Z90" s="25"/>
      <c r="AA90" s="25"/>
      <c r="AB90" s="24">
        <f>3243738</f>
        <v>3243738</v>
      </c>
      <c r="AC90" s="24"/>
      <c r="AD90" s="24"/>
      <c r="AE90" s="26" t="s">
        <v>71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3243738</f>
        <v>3243738</v>
      </c>
      <c r="AU90" s="24"/>
      <c r="AV90" s="24"/>
      <c r="AW90" s="25" t="s">
        <v>71</v>
      </c>
      <c r="AX90" s="25"/>
      <c r="AY90" s="24">
        <f>672136.7</f>
        <v>672136.7</v>
      </c>
      <c r="AZ90" s="24"/>
      <c r="BA90" s="25" t="s">
        <v>71</v>
      </c>
      <c r="BB90" s="25"/>
      <c r="BC90" s="25"/>
      <c r="BD90" s="24">
        <f>672136.7</f>
        <v>672136.7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672136.7</f>
        <v>672136.7</v>
      </c>
      <c r="BO90" s="24"/>
      <c r="BP90" s="24"/>
      <c r="BQ90" s="27" t="s">
        <v>71</v>
      </c>
    </row>
    <row r="91" spans="1:69" s="1" customFormat="1" ht="33.75" customHeight="1">
      <c r="A91" s="16" t="s">
        <v>205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194</v>
      </c>
      <c r="N91" s="23"/>
      <c r="O91" s="23"/>
      <c r="P91" s="31" t="s">
        <v>212</v>
      </c>
      <c r="Q91" s="31"/>
      <c r="R91" s="31"/>
      <c r="S91" s="31"/>
      <c r="T91" s="31"/>
      <c r="U91" s="24">
        <f>979609</f>
        <v>979609</v>
      </c>
      <c r="V91" s="24"/>
      <c r="W91" s="24"/>
      <c r="X91" s="25" t="s">
        <v>71</v>
      </c>
      <c r="Y91" s="25"/>
      <c r="Z91" s="25"/>
      <c r="AA91" s="25"/>
      <c r="AB91" s="24">
        <f>979609</f>
        <v>979609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979609</f>
        <v>979609</v>
      </c>
      <c r="AU91" s="24"/>
      <c r="AV91" s="24"/>
      <c r="AW91" s="25" t="s">
        <v>71</v>
      </c>
      <c r="AX91" s="25"/>
      <c r="AY91" s="24">
        <f>120325</f>
        <v>120325</v>
      </c>
      <c r="AZ91" s="24"/>
      <c r="BA91" s="25" t="s">
        <v>71</v>
      </c>
      <c r="BB91" s="25"/>
      <c r="BC91" s="25"/>
      <c r="BD91" s="24">
        <f>120325</f>
        <v>120325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120325</f>
        <v>120325</v>
      </c>
      <c r="BO91" s="24"/>
      <c r="BP91" s="24"/>
      <c r="BQ91" s="27" t="s">
        <v>71</v>
      </c>
    </row>
    <row r="92" spans="1:69" s="1" customFormat="1" ht="24" customHeight="1">
      <c r="A92" s="16" t="s">
        <v>213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194</v>
      </c>
      <c r="N92" s="23"/>
      <c r="O92" s="23"/>
      <c r="P92" s="31" t="s">
        <v>214</v>
      </c>
      <c r="Q92" s="31"/>
      <c r="R92" s="31"/>
      <c r="S92" s="31"/>
      <c r="T92" s="31"/>
      <c r="U92" s="24">
        <f>1391189</f>
        <v>1391189</v>
      </c>
      <c r="V92" s="24"/>
      <c r="W92" s="24"/>
      <c r="X92" s="25" t="s">
        <v>71</v>
      </c>
      <c r="Y92" s="25"/>
      <c r="Z92" s="25"/>
      <c r="AA92" s="25"/>
      <c r="AB92" s="24">
        <f>1391189</f>
        <v>1391189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1391189</f>
        <v>1391189</v>
      </c>
      <c r="AU92" s="24"/>
      <c r="AV92" s="24"/>
      <c r="AW92" s="25" t="s">
        <v>71</v>
      </c>
      <c r="AX92" s="25"/>
      <c r="AY92" s="24">
        <f>242244.25</f>
        <v>242244.25</v>
      </c>
      <c r="AZ92" s="24"/>
      <c r="BA92" s="25" t="s">
        <v>71</v>
      </c>
      <c r="BB92" s="25"/>
      <c r="BC92" s="25"/>
      <c r="BD92" s="24">
        <f>242244.25</f>
        <v>242244.25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242244.25</f>
        <v>242244.25</v>
      </c>
      <c r="BO92" s="24"/>
      <c r="BP92" s="24"/>
      <c r="BQ92" s="27" t="s">
        <v>71</v>
      </c>
    </row>
    <row r="93" spans="1:69" s="1" customFormat="1" ht="24" customHeight="1">
      <c r="A93" s="16" t="s">
        <v>215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194</v>
      </c>
      <c r="N93" s="23"/>
      <c r="O93" s="23"/>
      <c r="P93" s="31" t="s">
        <v>216</v>
      </c>
      <c r="Q93" s="31"/>
      <c r="R93" s="31"/>
      <c r="S93" s="31"/>
      <c r="T93" s="31"/>
      <c r="U93" s="24">
        <f>1391189</f>
        <v>1391189</v>
      </c>
      <c r="V93" s="24"/>
      <c r="W93" s="24"/>
      <c r="X93" s="25" t="s">
        <v>71</v>
      </c>
      <c r="Y93" s="25"/>
      <c r="Z93" s="25"/>
      <c r="AA93" s="25"/>
      <c r="AB93" s="24">
        <f>1391189</f>
        <v>1391189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1391189</f>
        <v>1391189</v>
      </c>
      <c r="AU93" s="24"/>
      <c r="AV93" s="24"/>
      <c r="AW93" s="25" t="s">
        <v>71</v>
      </c>
      <c r="AX93" s="25"/>
      <c r="AY93" s="24">
        <f>242244.25</f>
        <v>242244.25</v>
      </c>
      <c r="AZ93" s="24"/>
      <c r="BA93" s="25" t="s">
        <v>71</v>
      </c>
      <c r="BB93" s="25"/>
      <c r="BC93" s="25"/>
      <c r="BD93" s="24">
        <f>242244.25</f>
        <v>242244.25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242244.25</f>
        <v>242244.25</v>
      </c>
      <c r="BO93" s="24"/>
      <c r="BP93" s="24"/>
      <c r="BQ93" s="27" t="s">
        <v>71</v>
      </c>
    </row>
    <row r="94" spans="1:69" s="1" customFormat="1" ht="13.5" customHeight="1">
      <c r="A94" s="16" t="s">
        <v>217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194</v>
      </c>
      <c r="N94" s="23"/>
      <c r="O94" s="23"/>
      <c r="P94" s="31" t="s">
        <v>218</v>
      </c>
      <c r="Q94" s="31"/>
      <c r="R94" s="31"/>
      <c r="S94" s="31"/>
      <c r="T94" s="31"/>
      <c r="U94" s="24">
        <f>1190855.06</f>
        <v>1190855.06</v>
      </c>
      <c r="V94" s="24"/>
      <c r="W94" s="24"/>
      <c r="X94" s="25" t="s">
        <v>71</v>
      </c>
      <c r="Y94" s="25"/>
      <c r="Z94" s="25"/>
      <c r="AA94" s="25"/>
      <c r="AB94" s="24">
        <f>1190855.06</f>
        <v>1190855.06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1190855.06</f>
        <v>1190855.06</v>
      </c>
      <c r="AU94" s="24"/>
      <c r="AV94" s="24"/>
      <c r="AW94" s="25" t="s">
        <v>71</v>
      </c>
      <c r="AX94" s="25"/>
      <c r="AY94" s="24">
        <f>205953</f>
        <v>205953</v>
      </c>
      <c r="AZ94" s="24"/>
      <c r="BA94" s="25" t="s">
        <v>71</v>
      </c>
      <c r="BB94" s="25"/>
      <c r="BC94" s="25"/>
      <c r="BD94" s="24">
        <f>205953</f>
        <v>205953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205953</f>
        <v>205953</v>
      </c>
      <c r="BO94" s="24"/>
      <c r="BP94" s="24"/>
      <c r="BQ94" s="27" t="s">
        <v>71</v>
      </c>
    </row>
    <row r="95" spans="1:69" s="1" customFormat="1" ht="13.5" customHeight="1">
      <c r="A95" s="16" t="s">
        <v>219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194</v>
      </c>
      <c r="N95" s="23"/>
      <c r="O95" s="23"/>
      <c r="P95" s="31" t="s">
        <v>220</v>
      </c>
      <c r="Q95" s="31"/>
      <c r="R95" s="31"/>
      <c r="S95" s="31"/>
      <c r="T95" s="31"/>
      <c r="U95" s="24">
        <f>200333.94</f>
        <v>200333.94</v>
      </c>
      <c r="V95" s="24"/>
      <c r="W95" s="24"/>
      <c r="X95" s="25" t="s">
        <v>71</v>
      </c>
      <c r="Y95" s="25"/>
      <c r="Z95" s="25"/>
      <c r="AA95" s="25"/>
      <c r="AB95" s="24">
        <f>200333.94</f>
        <v>200333.94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200333.94</f>
        <v>200333.94</v>
      </c>
      <c r="AU95" s="24"/>
      <c r="AV95" s="24"/>
      <c r="AW95" s="25" t="s">
        <v>71</v>
      </c>
      <c r="AX95" s="25"/>
      <c r="AY95" s="24">
        <f>36291.25</f>
        <v>36291.25</v>
      </c>
      <c r="AZ95" s="24"/>
      <c r="BA95" s="25" t="s">
        <v>71</v>
      </c>
      <c r="BB95" s="25"/>
      <c r="BC95" s="25"/>
      <c r="BD95" s="24">
        <f>36291.25</f>
        <v>36291.25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36291.25</f>
        <v>36291.25</v>
      </c>
      <c r="BO95" s="24"/>
      <c r="BP95" s="24"/>
      <c r="BQ95" s="27" t="s">
        <v>71</v>
      </c>
    </row>
    <row r="96" spans="1:69" s="1" customFormat="1" ht="13.5" customHeight="1">
      <c r="A96" s="16" t="s">
        <v>221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194</v>
      </c>
      <c r="N96" s="23"/>
      <c r="O96" s="23"/>
      <c r="P96" s="31" t="s">
        <v>222</v>
      </c>
      <c r="Q96" s="31"/>
      <c r="R96" s="31"/>
      <c r="S96" s="31"/>
      <c r="T96" s="31"/>
      <c r="U96" s="24">
        <f>0</f>
        <v>0</v>
      </c>
      <c r="V96" s="24"/>
      <c r="W96" s="24"/>
      <c r="X96" s="25" t="s">
        <v>71</v>
      </c>
      <c r="Y96" s="25"/>
      <c r="Z96" s="25"/>
      <c r="AA96" s="25"/>
      <c r="AB96" s="24">
        <f>0</f>
        <v>0</v>
      </c>
      <c r="AC96" s="24"/>
      <c r="AD96" s="24"/>
      <c r="AE96" s="28">
        <f>51840</f>
        <v>51840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51840</f>
        <v>51840</v>
      </c>
      <c r="AU96" s="24"/>
      <c r="AV96" s="24"/>
      <c r="AW96" s="25" t="s">
        <v>71</v>
      </c>
      <c r="AX96" s="25"/>
      <c r="AY96" s="25" t="s">
        <v>71</v>
      </c>
      <c r="AZ96" s="25"/>
      <c r="BA96" s="25" t="s">
        <v>71</v>
      </c>
      <c r="BB96" s="25"/>
      <c r="BC96" s="25"/>
      <c r="BD96" s="25" t="s">
        <v>71</v>
      </c>
      <c r="BE96" s="25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5" t="s">
        <v>71</v>
      </c>
      <c r="BO96" s="25"/>
      <c r="BP96" s="25"/>
      <c r="BQ96" s="27" t="s">
        <v>71</v>
      </c>
    </row>
    <row r="97" spans="1:69" s="1" customFormat="1" ht="13.5" customHeight="1">
      <c r="A97" s="16" t="s">
        <v>223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194</v>
      </c>
      <c r="N97" s="23"/>
      <c r="O97" s="23"/>
      <c r="P97" s="31" t="s">
        <v>224</v>
      </c>
      <c r="Q97" s="31"/>
      <c r="R97" s="31"/>
      <c r="S97" s="31"/>
      <c r="T97" s="31"/>
      <c r="U97" s="24">
        <f>0</f>
        <v>0</v>
      </c>
      <c r="V97" s="24"/>
      <c r="W97" s="24"/>
      <c r="X97" s="25" t="s">
        <v>71</v>
      </c>
      <c r="Y97" s="25"/>
      <c r="Z97" s="25"/>
      <c r="AA97" s="25"/>
      <c r="AB97" s="24">
        <f>0</f>
        <v>0</v>
      </c>
      <c r="AC97" s="24"/>
      <c r="AD97" s="24"/>
      <c r="AE97" s="28">
        <f>51840</f>
        <v>51840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51840</f>
        <v>51840</v>
      </c>
      <c r="AU97" s="24"/>
      <c r="AV97" s="24"/>
      <c r="AW97" s="25" t="s">
        <v>71</v>
      </c>
      <c r="AX97" s="25"/>
      <c r="AY97" s="25" t="s">
        <v>71</v>
      </c>
      <c r="AZ97" s="25"/>
      <c r="BA97" s="25" t="s">
        <v>71</v>
      </c>
      <c r="BB97" s="25"/>
      <c r="BC97" s="25"/>
      <c r="BD97" s="25" t="s">
        <v>71</v>
      </c>
      <c r="BE97" s="25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5" t="s">
        <v>71</v>
      </c>
      <c r="BO97" s="25"/>
      <c r="BP97" s="25"/>
      <c r="BQ97" s="27" t="s">
        <v>71</v>
      </c>
    </row>
    <row r="98" spans="1:69" s="1" customFormat="1" ht="13.5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194</v>
      </c>
      <c r="N98" s="23"/>
      <c r="O98" s="23"/>
      <c r="P98" s="31" t="s">
        <v>226</v>
      </c>
      <c r="Q98" s="31"/>
      <c r="R98" s="31"/>
      <c r="S98" s="31"/>
      <c r="T98" s="31"/>
      <c r="U98" s="24">
        <f>55200</f>
        <v>55200</v>
      </c>
      <c r="V98" s="24"/>
      <c r="W98" s="24"/>
      <c r="X98" s="25" t="s">
        <v>71</v>
      </c>
      <c r="Y98" s="25"/>
      <c r="Z98" s="25"/>
      <c r="AA98" s="25"/>
      <c r="AB98" s="24">
        <f>55200</f>
        <v>55200</v>
      </c>
      <c r="AC98" s="24"/>
      <c r="AD98" s="24"/>
      <c r="AE98" s="26" t="s">
        <v>71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55200</f>
        <v>55200</v>
      </c>
      <c r="AU98" s="24"/>
      <c r="AV98" s="24"/>
      <c r="AW98" s="25" t="s">
        <v>71</v>
      </c>
      <c r="AX98" s="25"/>
      <c r="AY98" s="25" t="s">
        <v>71</v>
      </c>
      <c r="AZ98" s="25"/>
      <c r="BA98" s="25" t="s">
        <v>71</v>
      </c>
      <c r="BB98" s="25"/>
      <c r="BC98" s="25"/>
      <c r="BD98" s="25" t="s">
        <v>71</v>
      </c>
      <c r="BE98" s="25"/>
      <c r="BF98" s="26" t="s">
        <v>71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5" t="s">
        <v>71</v>
      </c>
      <c r="BO98" s="25"/>
      <c r="BP98" s="25"/>
      <c r="BQ98" s="27" t="s">
        <v>71</v>
      </c>
    </row>
    <row r="99" spans="1:69" s="1" customFormat="1" ht="13.5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194</v>
      </c>
      <c r="N99" s="23"/>
      <c r="O99" s="23"/>
      <c r="P99" s="31" t="s">
        <v>228</v>
      </c>
      <c r="Q99" s="31"/>
      <c r="R99" s="31"/>
      <c r="S99" s="31"/>
      <c r="T99" s="31"/>
      <c r="U99" s="24">
        <f>55200</f>
        <v>55200</v>
      </c>
      <c r="V99" s="24"/>
      <c r="W99" s="24"/>
      <c r="X99" s="25" t="s">
        <v>71</v>
      </c>
      <c r="Y99" s="25"/>
      <c r="Z99" s="25"/>
      <c r="AA99" s="25"/>
      <c r="AB99" s="24">
        <f>55200</f>
        <v>55200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55200</f>
        <v>55200</v>
      </c>
      <c r="AU99" s="24"/>
      <c r="AV99" s="24"/>
      <c r="AW99" s="25" t="s">
        <v>71</v>
      </c>
      <c r="AX99" s="25"/>
      <c r="AY99" s="25" t="s">
        <v>71</v>
      </c>
      <c r="AZ99" s="25"/>
      <c r="BA99" s="25" t="s">
        <v>71</v>
      </c>
      <c r="BB99" s="25"/>
      <c r="BC99" s="25"/>
      <c r="BD99" s="25" t="s">
        <v>71</v>
      </c>
      <c r="BE99" s="25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5" t="s">
        <v>71</v>
      </c>
      <c r="BO99" s="25"/>
      <c r="BP99" s="25"/>
      <c r="BQ99" s="27" t="s">
        <v>71</v>
      </c>
    </row>
    <row r="100" spans="1:69" s="1" customFormat="1" ht="24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194</v>
      </c>
      <c r="N100" s="23"/>
      <c r="O100" s="23"/>
      <c r="P100" s="31" t="s">
        <v>230</v>
      </c>
      <c r="Q100" s="31"/>
      <c r="R100" s="31"/>
      <c r="S100" s="31"/>
      <c r="T100" s="31"/>
      <c r="U100" s="24">
        <f>54000</f>
        <v>54000</v>
      </c>
      <c r="V100" s="24"/>
      <c r="W100" s="24"/>
      <c r="X100" s="25" t="s">
        <v>71</v>
      </c>
      <c r="Y100" s="25"/>
      <c r="Z100" s="25"/>
      <c r="AA100" s="25"/>
      <c r="AB100" s="24">
        <f>54000</f>
        <v>54000</v>
      </c>
      <c r="AC100" s="24"/>
      <c r="AD100" s="24"/>
      <c r="AE100" s="26" t="s">
        <v>71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54000</f>
        <v>54000</v>
      </c>
      <c r="AU100" s="24"/>
      <c r="AV100" s="24"/>
      <c r="AW100" s="25" t="s">
        <v>71</v>
      </c>
      <c r="AX100" s="25"/>
      <c r="AY100" s="25" t="s">
        <v>71</v>
      </c>
      <c r="AZ100" s="25"/>
      <c r="BA100" s="25" t="s">
        <v>71</v>
      </c>
      <c r="BB100" s="25"/>
      <c r="BC100" s="25"/>
      <c r="BD100" s="25" t="s">
        <v>71</v>
      </c>
      <c r="BE100" s="25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5" t="s">
        <v>71</v>
      </c>
      <c r="BO100" s="25"/>
      <c r="BP100" s="25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194</v>
      </c>
      <c r="N101" s="23"/>
      <c r="O101" s="23"/>
      <c r="P101" s="31" t="s">
        <v>232</v>
      </c>
      <c r="Q101" s="31"/>
      <c r="R101" s="31"/>
      <c r="S101" s="31"/>
      <c r="T101" s="31"/>
      <c r="U101" s="24">
        <f>1000</f>
        <v>1000</v>
      </c>
      <c r="V101" s="24"/>
      <c r="W101" s="24"/>
      <c r="X101" s="25" t="s">
        <v>71</v>
      </c>
      <c r="Y101" s="25"/>
      <c r="Z101" s="25"/>
      <c r="AA101" s="25"/>
      <c r="AB101" s="24">
        <f>1000</f>
        <v>1000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1000</f>
        <v>1000</v>
      </c>
      <c r="AU101" s="24"/>
      <c r="AV101" s="24"/>
      <c r="AW101" s="25" t="s">
        <v>71</v>
      </c>
      <c r="AX101" s="25"/>
      <c r="AY101" s="25" t="s">
        <v>71</v>
      </c>
      <c r="AZ101" s="25"/>
      <c r="BA101" s="25" t="s">
        <v>71</v>
      </c>
      <c r="BB101" s="25"/>
      <c r="BC101" s="25"/>
      <c r="BD101" s="25" t="s">
        <v>71</v>
      </c>
      <c r="BE101" s="25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5" t="s">
        <v>71</v>
      </c>
      <c r="BO101" s="25"/>
      <c r="BP101" s="25"/>
      <c r="BQ101" s="27" t="s">
        <v>71</v>
      </c>
    </row>
    <row r="102" spans="1:69" s="1" customFormat="1" ht="13.5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194</v>
      </c>
      <c r="N102" s="23"/>
      <c r="O102" s="23"/>
      <c r="P102" s="31" t="s">
        <v>234</v>
      </c>
      <c r="Q102" s="31"/>
      <c r="R102" s="31"/>
      <c r="S102" s="31"/>
      <c r="T102" s="31"/>
      <c r="U102" s="24">
        <f>200</f>
        <v>200</v>
      </c>
      <c r="V102" s="24"/>
      <c r="W102" s="24"/>
      <c r="X102" s="25" t="s">
        <v>71</v>
      </c>
      <c r="Y102" s="25"/>
      <c r="Z102" s="25"/>
      <c r="AA102" s="25"/>
      <c r="AB102" s="24">
        <f>200</f>
        <v>200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200</f>
        <v>200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33.75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194</v>
      </c>
      <c r="N103" s="23"/>
      <c r="O103" s="23"/>
      <c r="P103" s="31" t="s">
        <v>236</v>
      </c>
      <c r="Q103" s="31"/>
      <c r="R103" s="31"/>
      <c r="S103" s="31"/>
      <c r="T103" s="31"/>
      <c r="U103" s="24">
        <f>0</f>
        <v>0</v>
      </c>
      <c r="V103" s="24"/>
      <c r="W103" s="24"/>
      <c r="X103" s="25" t="s">
        <v>71</v>
      </c>
      <c r="Y103" s="25"/>
      <c r="Z103" s="25"/>
      <c r="AA103" s="25"/>
      <c r="AB103" s="24">
        <f>0</f>
        <v>0</v>
      </c>
      <c r="AC103" s="24"/>
      <c r="AD103" s="24"/>
      <c r="AE103" s="28">
        <f>86664</f>
        <v>86664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86664</f>
        <v>86664</v>
      </c>
      <c r="AU103" s="24"/>
      <c r="AV103" s="24"/>
      <c r="AW103" s="25" t="s">
        <v>71</v>
      </c>
      <c r="AX103" s="25"/>
      <c r="AY103" s="24">
        <f>0</f>
        <v>0</v>
      </c>
      <c r="AZ103" s="24"/>
      <c r="BA103" s="25" t="s">
        <v>71</v>
      </c>
      <c r="BB103" s="25"/>
      <c r="BC103" s="25"/>
      <c r="BD103" s="24">
        <f>0</f>
        <v>0</v>
      </c>
      <c r="BE103" s="24"/>
      <c r="BF103" s="28">
        <f>21666</f>
        <v>21666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4">
        <f>21666</f>
        <v>21666</v>
      </c>
      <c r="BO103" s="24"/>
      <c r="BP103" s="24"/>
      <c r="BQ103" s="27" t="s">
        <v>71</v>
      </c>
    </row>
    <row r="104" spans="1:69" s="1" customFormat="1" ht="13.5" customHeight="1">
      <c r="A104" s="16" t="s">
        <v>221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194</v>
      </c>
      <c r="N104" s="23"/>
      <c r="O104" s="23"/>
      <c r="P104" s="31" t="s">
        <v>237</v>
      </c>
      <c r="Q104" s="31"/>
      <c r="R104" s="31"/>
      <c r="S104" s="31"/>
      <c r="T104" s="31"/>
      <c r="U104" s="24">
        <f>0</f>
        <v>0</v>
      </c>
      <c r="V104" s="24"/>
      <c r="W104" s="24"/>
      <c r="X104" s="25" t="s">
        <v>71</v>
      </c>
      <c r="Y104" s="25"/>
      <c r="Z104" s="25"/>
      <c r="AA104" s="25"/>
      <c r="AB104" s="24">
        <f>0</f>
        <v>0</v>
      </c>
      <c r="AC104" s="24"/>
      <c r="AD104" s="24"/>
      <c r="AE104" s="28">
        <f>86664</f>
        <v>86664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86664</f>
        <v>86664</v>
      </c>
      <c r="AU104" s="24"/>
      <c r="AV104" s="24"/>
      <c r="AW104" s="25" t="s">
        <v>71</v>
      </c>
      <c r="AX104" s="25"/>
      <c r="AY104" s="24">
        <f>0</f>
        <v>0</v>
      </c>
      <c r="AZ104" s="24"/>
      <c r="BA104" s="25" t="s">
        <v>71</v>
      </c>
      <c r="BB104" s="25"/>
      <c r="BC104" s="25"/>
      <c r="BD104" s="24">
        <f>0</f>
        <v>0</v>
      </c>
      <c r="BE104" s="24"/>
      <c r="BF104" s="28">
        <f>21666</f>
        <v>21666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4">
        <f>21666</f>
        <v>21666</v>
      </c>
      <c r="BO104" s="24"/>
      <c r="BP104" s="24"/>
      <c r="BQ104" s="27" t="s">
        <v>71</v>
      </c>
    </row>
    <row r="105" spans="1:69" s="1" customFormat="1" ht="13.5" customHeight="1">
      <c r="A105" s="16" t="s">
        <v>223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194</v>
      </c>
      <c r="N105" s="23"/>
      <c r="O105" s="23"/>
      <c r="P105" s="31" t="s">
        <v>238</v>
      </c>
      <c r="Q105" s="31"/>
      <c r="R105" s="31"/>
      <c r="S105" s="31"/>
      <c r="T105" s="31"/>
      <c r="U105" s="24">
        <f>0</f>
        <v>0</v>
      </c>
      <c r="V105" s="24"/>
      <c r="W105" s="24"/>
      <c r="X105" s="25" t="s">
        <v>71</v>
      </c>
      <c r="Y105" s="25"/>
      <c r="Z105" s="25"/>
      <c r="AA105" s="25"/>
      <c r="AB105" s="24">
        <f>0</f>
        <v>0</v>
      </c>
      <c r="AC105" s="24"/>
      <c r="AD105" s="24"/>
      <c r="AE105" s="28">
        <f>86664</f>
        <v>86664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86664</f>
        <v>86664</v>
      </c>
      <c r="AU105" s="24"/>
      <c r="AV105" s="24"/>
      <c r="AW105" s="25" t="s">
        <v>71</v>
      </c>
      <c r="AX105" s="25"/>
      <c r="AY105" s="24">
        <f>0</f>
        <v>0</v>
      </c>
      <c r="AZ105" s="24"/>
      <c r="BA105" s="25" t="s">
        <v>71</v>
      </c>
      <c r="BB105" s="25"/>
      <c r="BC105" s="25"/>
      <c r="BD105" s="24">
        <f>0</f>
        <v>0</v>
      </c>
      <c r="BE105" s="24"/>
      <c r="BF105" s="28">
        <f>21666</f>
        <v>21666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21666</f>
        <v>21666</v>
      </c>
      <c r="BO105" s="24"/>
      <c r="BP105" s="24"/>
      <c r="BQ105" s="27" t="s">
        <v>71</v>
      </c>
    </row>
    <row r="106" spans="1:69" s="1" customFormat="1" ht="13.5" customHeight="1">
      <c r="A106" s="16" t="s">
        <v>239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194</v>
      </c>
      <c r="N106" s="23"/>
      <c r="O106" s="23"/>
      <c r="P106" s="31" t="s">
        <v>240</v>
      </c>
      <c r="Q106" s="31"/>
      <c r="R106" s="31"/>
      <c r="S106" s="31"/>
      <c r="T106" s="31"/>
      <c r="U106" s="24">
        <f>99000</f>
        <v>99000</v>
      </c>
      <c r="V106" s="24"/>
      <c r="W106" s="24"/>
      <c r="X106" s="25" t="s">
        <v>71</v>
      </c>
      <c r="Y106" s="25"/>
      <c r="Z106" s="25"/>
      <c r="AA106" s="25"/>
      <c r="AB106" s="24">
        <f>99000</f>
        <v>99000</v>
      </c>
      <c r="AC106" s="24"/>
      <c r="AD106" s="24"/>
      <c r="AE106" s="26" t="s">
        <v>71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99000</f>
        <v>99000</v>
      </c>
      <c r="AU106" s="24"/>
      <c r="AV106" s="24"/>
      <c r="AW106" s="25" t="s">
        <v>71</v>
      </c>
      <c r="AX106" s="25"/>
      <c r="AY106" s="25" t="s">
        <v>71</v>
      </c>
      <c r="AZ106" s="25"/>
      <c r="BA106" s="25" t="s">
        <v>71</v>
      </c>
      <c r="BB106" s="25"/>
      <c r="BC106" s="25"/>
      <c r="BD106" s="25" t="s">
        <v>71</v>
      </c>
      <c r="BE106" s="25"/>
      <c r="BF106" s="26" t="s">
        <v>71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5" t="s">
        <v>71</v>
      </c>
      <c r="BO106" s="25"/>
      <c r="BP106" s="25"/>
      <c r="BQ106" s="27" t="s">
        <v>71</v>
      </c>
    </row>
    <row r="107" spans="1:69" s="1" customFormat="1" ht="13.5" customHeight="1">
      <c r="A107" s="16" t="s">
        <v>225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194</v>
      </c>
      <c r="N107" s="23"/>
      <c r="O107" s="23"/>
      <c r="P107" s="31" t="s">
        <v>241</v>
      </c>
      <c r="Q107" s="31"/>
      <c r="R107" s="31"/>
      <c r="S107" s="31"/>
      <c r="T107" s="31"/>
      <c r="U107" s="24">
        <f>99000</f>
        <v>99000</v>
      </c>
      <c r="V107" s="24"/>
      <c r="W107" s="24"/>
      <c r="X107" s="25" t="s">
        <v>71</v>
      </c>
      <c r="Y107" s="25"/>
      <c r="Z107" s="25"/>
      <c r="AA107" s="25"/>
      <c r="AB107" s="24">
        <f>99000</f>
        <v>99000</v>
      </c>
      <c r="AC107" s="24"/>
      <c r="AD107" s="24"/>
      <c r="AE107" s="26" t="s">
        <v>71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99000</f>
        <v>99000</v>
      </c>
      <c r="AU107" s="24"/>
      <c r="AV107" s="24"/>
      <c r="AW107" s="25" t="s">
        <v>71</v>
      </c>
      <c r="AX107" s="25"/>
      <c r="AY107" s="25" t="s">
        <v>71</v>
      </c>
      <c r="AZ107" s="25"/>
      <c r="BA107" s="25" t="s">
        <v>71</v>
      </c>
      <c r="BB107" s="25"/>
      <c r="BC107" s="25"/>
      <c r="BD107" s="25" t="s">
        <v>71</v>
      </c>
      <c r="BE107" s="25"/>
      <c r="BF107" s="26" t="s">
        <v>71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5" t="s">
        <v>71</v>
      </c>
      <c r="BO107" s="25"/>
      <c r="BP107" s="25"/>
      <c r="BQ107" s="27" t="s">
        <v>71</v>
      </c>
    </row>
    <row r="108" spans="1:69" s="1" customFormat="1" ht="13.5" customHeight="1">
      <c r="A108" s="16" t="s">
        <v>242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194</v>
      </c>
      <c r="N108" s="23"/>
      <c r="O108" s="23"/>
      <c r="P108" s="31" t="s">
        <v>243</v>
      </c>
      <c r="Q108" s="31"/>
      <c r="R108" s="31"/>
      <c r="S108" s="31"/>
      <c r="T108" s="31"/>
      <c r="U108" s="24">
        <f>99000</f>
        <v>99000</v>
      </c>
      <c r="V108" s="24"/>
      <c r="W108" s="24"/>
      <c r="X108" s="25" t="s">
        <v>71</v>
      </c>
      <c r="Y108" s="25"/>
      <c r="Z108" s="25"/>
      <c r="AA108" s="25"/>
      <c r="AB108" s="24">
        <f>99000</f>
        <v>99000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99000</f>
        <v>99000</v>
      </c>
      <c r="AU108" s="24"/>
      <c r="AV108" s="24"/>
      <c r="AW108" s="25" t="s">
        <v>71</v>
      </c>
      <c r="AX108" s="25"/>
      <c r="AY108" s="25" t="s">
        <v>71</v>
      </c>
      <c r="AZ108" s="25"/>
      <c r="BA108" s="25" t="s">
        <v>71</v>
      </c>
      <c r="BB108" s="25"/>
      <c r="BC108" s="25"/>
      <c r="BD108" s="25" t="s">
        <v>71</v>
      </c>
      <c r="BE108" s="25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5" t="s">
        <v>71</v>
      </c>
      <c r="BO108" s="25"/>
      <c r="BP108" s="25"/>
      <c r="BQ108" s="27" t="s">
        <v>71</v>
      </c>
    </row>
    <row r="109" spans="1:69" s="1" customFormat="1" ht="13.5" customHeight="1">
      <c r="A109" s="16" t="s">
        <v>244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194</v>
      </c>
      <c r="N109" s="23"/>
      <c r="O109" s="23"/>
      <c r="P109" s="31" t="s">
        <v>245</v>
      </c>
      <c r="Q109" s="31"/>
      <c r="R109" s="31"/>
      <c r="S109" s="31"/>
      <c r="T109" s="31"/>
      <c r="U109" s="24">
        <f>6140197</f>
        <v>6140197</v>
      </c>
      <c r="V109" s="24"/>
      <c r="W109" s="24"/>
      <c r="X109" s="25" t="s">
        <v>71</v>
      </c>
      <c r="Y109" s="25"/>
      <c r="Z109" s="25"/>
      <c r="AA109" s="25"/>
      <c r="AB109" s="24">
        <f>6140197</f>
        <v>6140197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6140197</f>
        <v>6140197</v>
      </c>
      <c r="AU109" s="24"/>
      <c r="AV109" s="24"/>
      <c r="AW109" s="25" t="s">
        <v>71</v>
      </c>
      <c r="AX109" s="25"/>
      <c r="AY109" s="24">
        <f>981208.43</f>
        <v>981208.43</v>
      </c>
      <c r="AZ109" s="24"/>
      <c r="BA109" s="25" t="s">
        <v>71</v>
      </c>
      <c r="BB109" s="25"/>
      <c r="BC109" s="25"/>
      <c r="BD109" s="24">
        <f>981208.43</f>
        <v>981208.43</v>
      </c>
      <c r="BE109" s="24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4">
        <f>981208.43</f>
        <v>981208.43</v>
      </c>
      <c r="BO109" s="24"/>
      <c r="BP109" s="24"/>
      <c r="BQ109" s="27" t="s">
        <v>71</v>
      </c>
    </row>
    <row r="110" spans="1:69" s="1" customFormat="1" ht="54.75" customHeight="1">
      <c r="A110" s="16" t="s">
        <v>199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194</v>
      </c>
      <c r="N110" s="23"/>
      <c r="O110" s="23"/>
      <c r="P110" s="31" t="s">
        <v>246</v>
      </c>
      <c r="Q110" s="31"/>
      <c r="R110" s="31"/>
      <c r="S110" s="31"/>
      <c r="T110" s="31"/>
      <c r="U110" s="24">
        <f>3694199</f>
        <v>3694199</v>
      </c>
      <c r="V110" s="24"/>
      <c r="W110" s="24"/>
      <c r="X110" s="25" t="s">
        <v>71</v>
      </c>
      <c r="Y110" s="25"/>
      <c r="Z110" s="25"/>
      <c r="AA110" s="25"/>
      <c r="AB110" s="24">
        <f>3694199</f>
        <v>3694199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3694199</f>
        <v>3694199</v>
      </c>
      <c r="AU110" s="24"/>
      <c r="AV110" s="24"/>
      <c r="AW110" s="25" t="s">
        <v>71</v>
      </c>
      <c r="AX110" s="25"/>
      <c r="AY110" s="24">
        <f>715431.64</f>
        <v>715431.64</v>
      </c>
      <c r="AZ110" s="24"/>
      <c r="BA110" s="25" t="s">
        <v>71</v>
      </c>
      <c r="BB110" s="25"/>
      <c r="BC110" s="25"/>
      <c r="BD110" s="24">
        <f>715431.64</f>
        <v>715431.64</v>
      </c>
      <c r="BE110" s="24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715431.64</f>
        <v>715431.64</v>
      </c>
      <c r="BO110" s="24"/>
      <c r="BP110" s="24"/>
      <c r="BQ110" s="27" t="s">
        <v>71</v>
      </c>
    </row>
    <row r="111" spans="1:69" s="1" customFormat="1" ht="13.5" customHeight="1">
      <c r="A111" s="16" t="s">
        <v>247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194</v>
      </c>
      <c r="N111" s="23"/>
      <c r="O111" s="23"/>
      <c r="P111" s="31" t="s">
        <v>248</v>
      </c>
      <c r="Q111" s="31"/>
      <c r="R111" s="31"/>
      <c r="S111" s="31"/>
      <c r="T111" s="31"/>
      <c r="U111" s="24">
        <f>3694199</f>
        <v>3694199</v>
      </c>
      <c r="V111" s="24"/>
      <c r="W111" s="24"/>
      <c r="X111" s="25" t="s">
        <v>71</v>
      </c>
      <c r="Y111" s="25"/>
      <c r="Z111" s="25"/>
      <c r="AA111" s="25"/>
      <c r="AB111" s="24">
        <f>3694199</f>
        <v>3694199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3694199</f>
        <v>3694199</v>
      </c>
      <c r="AU111" s="24"/>
      <c r="AV111" s="24"/>
      <c r="AW111" s="25" t="s">
        <v>71</v>
      </c>
      <c r="AX111" s="25"/>
      <c r="AY111" s="24">
        <f>715431.64</f>
        <v>715431.64</v>
      </c>
      <c r="AZ111" s="24"/>
      <c r="BA111" s="25" t="s">
        <v>71</v>
      </c>
      <c r="BB111" s="25"/>
      <c r="BC111" s="25"/>
      <c r="BD111" s="24">
        <f>715431.64</f>
        <v>715431.64</v>
      </c>
      <c r="BE111" s="24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715431.64</f>
        <v>715431.64</v>
      </c>
      <c r="BO111" s="24"/>
      <c r="BP111" s="24"/>
      <c r="BQ111" s="27" t="s">
        <v>71</v>
      </c>
    </row>
    <row r="112" spans="1:69" s="1" customFormat="1" ht="13.5" customHeight="1">
      <c r="A112" s="16" t="s">
        <v>249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194</v>
      </c>
      <c r="N112" s="23"/>
      <c r="O112" s="23"/>
      <c r="P112" s="31" t="s">
        <v>250</v>
      </c>
      <c r="Q112" s="31"/>
      <c r="R112" s="31"/>
      <c r="S112" s="31"/>
      <c r="T112" s="31"/>
      <c r="U112" s="24">
        <f>2837326</f>
        <v>2837326</v>
      </c>
      <c r="V112" s="24"/>
      <c r="W112" s="24"/>
      <c r="X112" s="25" t="s">
        <v>71</v>
      </c>
      <c r="Y112" s="25"/>
      <c r="Z112" s="25"/>
      <c r="AA112" s="25"/>
      <c r="AB112" s="24">
        <f>2837326</f>
        <v>2837326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2837326</f>
        <v>2837326</v>
      </c>
      <c r="AU112" s="24"/>
      <c r="AV112" s="24"/>
      <c r="AW112" s="25" t="s">
        <v>71</v>
      </c>
      <c r="AX112" s="25"/>
      <c r="AY112" s="24">
        <f>592150.64</f>
        <v>592150.64</v>
      </c>
      <c r="AZ112" s="24"/>
      <c r="BA112" s="25" t="s">
        <v>71</v>
      </c>
      <c r="BB112" s="25"/>
      <c r="BC112" s="25"/>
      <c r="BD112" s="24">
        <f>592150.64</f>
        <v>592150.64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592150.64</f>
        <v>592150.64</v>
      </c>
      <c r="BO112" s="24"/>
      <c r="BP112" s="24"/>
      <c r="BQ112" s="27" t="s">
        <v>71</v>
      </c>
    </row>
    <row r="113" spans="1:69" s="1" customFormat="1" ht="24" customHeight="1">
      <c r="A113" s="16" t="s">
        <v>251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194</v>
      </c>
      <c r="N113" s="23"/>
      <c r="O113" s="23"/>
      <c r="P113" s="31" t="s">
        <v>252</v>
      </c>
      <c r="Q113" s="31"/>
      <c r="R113" s="31"/>
      <c r="S113" s="31"/>
      <c r="T113" s="31"/>
      <c r="U113" s="24">
        <f>560</f>
        <v>560</v>
      </c>
      <c r="V113" s="24"/>
      <c r="W113" s="24"/>
      <c r="X113" s="25" t="s">
        <v>71</v>
      </c>
      <c r="Y113" s="25"/>
      <c r="Z113" s="25"/>
      <c r="AA113" s="25"/>
      <c r="AB113" s="24">
        <f>560</f>
        <v>560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560</f>
        <v>560</v>
      </c>
      <c r="AU113" s="24"/>
      <c r="AV113" s="24"/>
      <c r="AW113" s="25" t="s">
        <v>71</v>
      </c>
      <c r="AX113" s="25"/>
      <c r="AY113" s="24">
        <f>560</f>
        <v>560</v>
      </c>
      <c r="AZ113" s="24"/>
      <c r="BA113" s="25" t="s">
        <v>71</v>
      </c>
      <c r="BB113" s="25"/>
      <c r="BC113" s="25"/>
      <c r="BD113" s="24">
        <f>560</f>
        <v>560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560</f>
        <v>560</v>
      </c>
      <c r="BO113" s="24"/>
      <c r="BP113" s="24"/>
      <c r="BQ113" s="27" t="s">
        <v>71</v>
      </c>
    </row>
    <row r="114" spans="1:69" s="1" customFormat="1" ht="33.75" customHeight="1">
      <c r="A114" s="16" t="s">
        <v>253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194</v>
      </c>
      <c r="N114" s="23"/>
      <c r="O114" s="23"/>
      <c r="P114" s="31" t="s">
        <v>254</v>
      </c>
      <c r="Q114" s="31"/>
      <c r="R114" s="31"/>
      <c r="S114" s="31"/>
      <c r="T114" s="31"/>
      <c r="U114" s="24">
        <f>856313</f>
        <v>856313</v>
      </c>
      <c r="V114" s="24"/>
      <c r="W114" s="24"/>
      <c r="X114" s="25" t="s">
        <v>71</v>
      </c>
      <c r="Y114" s="25"/>
      <c r="Z114" s="25"/>
      <c r="AA114" s="25"/>
      <c r="AB114" s="24">
        <f>856313</f>
        <v>856313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856313</f>
        <v>856313</v>
      </c>
      <c r="AU114" s="24"/>
      <c r="AV114" s="24"/>
      <c r="AW114" s="25" t="s">
        <v>71</v>
      </c>
      <c r="AX114" s="25"/>
      <c r="AY114" s="24">
        <f>122721</f>
        <v>122721</v>
      </c>
      <c r="AZ114" s="24"/>
      <c r="BA114" s="25" t="s">
        <v>71</v>
      </c>
      <c r="BB114" s="25"/>
      <c r="BC114" s="25"/>
      <c r="BD114" s="24">
        <f>122721</f>
        <v>122721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122721</f>
        <v>122721</v>
      </c>
      <c r="BO114" s="24"/>
      <c r="BP114" s="24"/>
      <c r="BQ114" s="27" t="s">
        <v>71</v>
      </c>
    </row>
    <row r="115" spans="1:69" s="1" customFormat="1" ht="24" customHeight="1">
      <c r="A115" s="16" t="s">
        <v>213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194</v>
      </c>
      <c r="N115" s="23"/>
      <c r="O115" s="23"/>
      <c r="P115" s="31" t="s">
        <v>255</v>
      </c>
      <c r="Q115" s="31"/>
      <c r="R115" s="31"/>
      <c r="S115" s="31"/>
      <c r="T115" s="31"/>
      <c r="U115" s="24">
        <f>2370970</f>
        <v>2370970</v>
      </c>
      <c r="V115" s="24"/>
      <c r="W115" s="24"/>
      <c r="X115" s="25" t="s">
        <v>71</v>
      </c>
      <c r="Y115" s="25"/>
      <c r="Z115" s="25"/>
      <c r="AA115" s="25"/>
      <c r="AB115" s="24">
        <f>2370970</f>
        <v>2370970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2370970</f>
        <v>2370970</v>
      </c>
      <c r="AU115" s="24"/>
      <c r="AV115" s="24"/>
      <c r="AW115" s="25" t="s">
        <v>71</v>
      </c>
      <c r="AX115" s="25"/>
      <c r="AY115" s="24">
        <f>265776.79</f>
        <v>265776.79</v>
      </c>
      <c r="AZ115" s="24"/>
      <c r="BA115" s="25" t="s">
        <v>71</v>
      </c>
      <c r="BB115" s="25"/>
      <c r="BC115" s="25"/>
      <c r="BD115" s="24">
        <f>265776.79</f>
        <v>265776.79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265776.79</f>
        <v>265776.79</v>
      </c>
      <c r="BO115" s="24"/>
      <c r="BP115" s="24"/>
      <c r="BQ115" s="27" t="s">
        <v>71</v>
      </c>
    </row>
    <row r="116" spans="1:69" s="1" customFormat="1" ht="24" customHeight="1">
      <c r="A116" s="16" t="s">
        <v>215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194</v>
      </c>
      <c r="N116" s="23"/>
      <c r="O116" s="23"/>
      <c r="P116" s="31" t="s">
        <v>256</v>
      </c>
      <c r="Q116" s="31"/>
      <c r="R116" s="31"/>
      <c r="S116" s="31"/>
      <c r="T116" s="31"/>
      <c r="U116" s="24">
        <f>2370970</f>
        <v>2370970</v>
      </c>
      <c r="V116" s="24"/>
      <c r="W116" s="24"/>
      <c r="X116" s="25" t="s">
        <v>71</v>
      </c>
      <c r="Y116" s="25"/>
      <c r="Z116" s="25"/>
      <c r="AA116" s="25"/>
      <c r="AB116" s="24">
        <f>2370970</f>
        <v>2370970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2370970</f>
        <v>2370970</v>
      </c>
      <c r="AU116" s="24"/>
      <c r="AV116" s="24"/>
      <c r="AW116" s="25" t="s">
        <v>71</v>
      </c>
      <c r="AX116" s="25"/>
      <c r="AY116" s="24">
        <f>265776.79</f>
        <v>265776.79</v>
      </c>
      <c r="AZ116" s="24"/>
      <c r="BA116" s="25" t="s">
        <v>71</v>
      </c>
      <c r="BB116" s="25"/>
      <c r="BC116" s="25"/>
      <c r="BD116" s="24">
        <f>265776.79</f>
        <v>265776.79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265776.79</f>
        <v>265776.79</v>
      </c>
      <c r="BO116" s="24"/>
      <c r="BP116" s="24"/>
      <c r="BQ116" s="27" t="s">
        <v>71</v>
      </c>
    </row>
    <row r="117" spans="1:69" s="1" customFormat="1" ht="13.5" customHeight="1">
      <c r="A117" s="16" t="s">
        <v>217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194</v>
      </c>
      <c r="N117" s="23"/>
      <c r="O117" s="23"/>
      <c r="P117" s="31" t="s">
        <v>257</v>
      </c>
      <c r="Q117" s="31"/>
      <c r="R117" s="31"/>
      <c r="S117" s="31"/>
      <c r="T117" s="31"/>
      <c r="U117" s="24">
        <f>2248970</f>
        <v>2248970</v>
      </c>
      <c r="V117" s="24"/>
      <c r="W117" s="24"/>
      <c r="X117" s="25" t="s">
        <v>71</v>
      </c>
      <c r="Y117" s="25"/>
      <c r="Z117" s="25"/>
      <c r="AA117" s="25"/>
      <c r="AB117" s="24">
        <f>2248970</f>
        <v>2248970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2248970</f>
        <v>2248970</v>
      </c>
      <c r="AU117" s="24"/>
      <c r="AV117" s="24"/>
      <c r="AW117" s="25" t="s">
        <v>71</v>
      </c>
      <c r="AX117" s="25"/>
      <c r="AY117" s="24">
        <f>232260.38</f>
        <v>232260.38</v>
      </c>
      <c r="AZ117" s="24"/>
      <c r="BA117" s="25" t="s">
        <v>71</v>
      </c>
      <c r="BB117" s="25"/>
      <c r="BC117" s="25"/>
      <c r="BD117" s="24">
        <f>232260.38</f>
        <v>232260.38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232260.38</f>
        <v>232260.38</v>
      </c>
      <c r="BO117" s="24"/>
      <c r="BP117" s="24"/>
      <c r="BQ117" s="27" t="s">
        <v>71</v>
      </c>
    </row>
    <row r="118" spans="1:69" s="1" customFormat="1" ht="13.5" customHeight="1">
      <c r="A118" s="16" t="s">
        <v>219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194</v>
      </c>
      <c r="N118" s="23"/>
      <c r="O118" s="23"/>
      <c r="P118" s="31" t="s">
        <v>258</v>
      </c>
      <c r="Q118" s="31"/>
      <c r="R118" s="31"/>
      <c r="S118" s="31"/>
      <c r="T118" s="31"/>
      <c r="U118" s="24">
        <f>122000</f>
        <v>122000</v>
      </c>
      <c r="V118" s="24"/>
      <c r="W118" s="24"/>
      <c r="X118" s="25" t="s">
        <v>71</v>
      </c>
      <c r="Y118" s="25"/>
      <c r="Z118" s="25"/>
      <c r="AA118" s="25"/>
      <c r="AB118" s="24">
        <f>122000</f>
        <v>122000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122000</f>
        <v>122000</v>
      </c>
      <c r="AU118" s="24"/>
      <c r="AV118" s="24"/>
      <c r="AW118" s="25" t="s">
        <v>71</v>
      </c>
      <c r="AX118" s="25"/>
      <c r="AY118" s="24">
        <f>33516.41</f>
        <v>33516.41</v>
      </c>
      <c r="AZ118" s="24"/>
      <c r="BA118" s="25" t="s">
        <v>71</v>
      </c>
      <c r="BB118" s="25"/>
      <c r="BC118" s="25"/>
      <c r="BD118" s="24">
        <f>33516.41</f>
        <v>33516.41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33516.41</f>
        <v>33516.41</v>
      </c>
      <c r="BO118" s="24"/>
      <c r="BP118" s="24"/>
      <c r="BQ118" s="27" t="s">
        <v>71</v>
      </c>
    </row>
    <row r="119" spans="1:69" s="1" customFormat="1" ht="13.5" customHeight="1">
      <c r="A119" s="16" t="s">
        <v>225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194</v>
      </c>
      <c r="N119" s="23"/>
      <c r="O119" s="23"/>
      <c r="P119" s="31" t="s">
        <v>259</v>
      </c>
      <c r="Q119" s="31"/>
      <c r="R119" s="31"/>
      <c r="S119" s="31"/>
      <c r="T119" s="31"/>
      <c r="U119" s="24">
        <f>75028</f>
        <v>75028</v>
      </c>
      <c r="V119" s="24"/>
      <c r="W119" s="24"/>
      <c r="X119" s="25" t="s">
        <v>71</v>
      </c>
      <c r="Y119" s="25"/>
      <c r="Z119" s="25"/>
      <c r="AA119" s="25"/>
      <c r="AB119" s="24">
        <f>75028</f>
        <v>75028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75028</f>
        <v>75028</v>
      </c>
      <c r="AU119" s="24"/>
      <c r="AV119" s="24"/>
      <c r="AW119" s="25" t="s">
        <v>71</v>
      </c>
      <c r="AX119" s="25"/>
      <c r="AY119" s="25" t="s">
        <v>71</v>
      </c>
      <c r="AZ119" s="25"/>
      <c r="BA119" s="25" t="s">
        <v>71</v>
      </c>
      <c r="BB119" s="25"/>
      <c r="BC119" s="25"/>
      <c r="BD119" s="25" t="s">
        <v>71</v>
      </c>
      <c r="BE119" s="25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5" t="s">
        <v>71</v>
      </c>
      <c r="BO119" s="25"/>
      <c r="BP119" s="25"/>
      <c r="BQ119" s="27" t="s">
        <v>71</v>
      </c>
    </row>
    <row r="120" spans="1:69" s="1" customFormat="1" ht="13.5" customHeight="1">
      <c r="A120" s="16" t="s">
        <v>227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194</v>
      </c>
      <c r="N120" s="23"/>
      <c r="O120" s="23"/>
      <c r="P120" s="31" t="s">
        <v>260</v>
      </c>
      <c r="Q120" s="31"/>
      <c r="R120" s="31"/>
      <c r="S120" s="31"/>
      <c r="T120" s="31"/>
      <c r="U120" s="24">
        <f>75028</f>
        <v>75028</v>
      </c>
      <c r="V120" s="24"/>
      <c r="W120" s="24"/>
      <c r="X120" s="25" t="s">
        <v>71</v>
      </c>
      <c r="Y120" s="25"/>
      <c r="Z120" s="25"/>
      <c r="AA120" s="25"/>
      <c r="AB120" s="24">
        <f>75028</f>
        <v>75028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75028</f>
        <v>75028</v>
      </c>
      <c r="AU120" s="24"/>
      <c r="AV120" s="24"/>
      <c r="AW120" s="25" t="s">
        <v>71</v>
      </c>
      <c r="AX120" s="25"/>
      <c r="AY120" s="25" t="s">
        <v>71</v>
      </c>
      <c r="AZ120" s="25"/>
      <c r="BA120" s="25" t="s">
        <v>71</v>
      </c>
      <c r="BB120" s="25"/>
      <c r="BC120" s="25"/>
      <c r="BD120" s="25" t="s">
        <v>71</v>
      </c>
      <c r="BE120" s="25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5" t="s">
        <v>71</v>
      </c>
      <c r="BO120" s="25"/>
      <c r="BP120" s="25"/>
      <c r="BQ120" s="27" t="s">
        <v>71</v>
      </c>
    </row>
    <row r="121" spans="1:69" s="1" customFormat="1" ht="24" customHeight="1">
      <c r="A121" s="16" t="s">
        <v>229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194</v>
      </c>
      <c r="N121" s="23"/>
      <c r="O121" s="23"/>
      <c r="P121" s="31" t="s">
        <v>261</v>
      </c>
      <c r="Q121" s="31"/>
      <c r="R121" s="31"/>
      <c r="S121" s="31"/>
      <c r="T121" s="31"/>
      <c r="U121" s="24">
        <f>20000</f>
        <v>20000</v>
      </c>
      <c r="V121" s="24"/>
      <c r="W121" s="24"/>
      <c r="X121" s="25" t="s">
        <v>71</v>
      </c>
      <c r="Y121" s="25"/>
      <c r="Z121" s="25"/>
      <c r="AA121" s="25"/>
      <c r="AB121" s="24">
        <f>20000</f>
        <v>20000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20000</f>
        <v>20000</v>
      </c>
      <c r="AU121" s="24"/>
      <c r="AV121" s="24"/>
      <c r="AW121" s="25" t="s">
        <v>71</v>
      </c>
      <c r="AX121" s="25"/>
      <c r="AY121" s="25" t="s">
        <v>71</v>
      </c>
      <c r="AZ121" s="25"/>
      <c r="BA121" s="25" t="s">
        <v>71</v>
      </c>
      <c r="BB121" s="25"/>
      <c r="BC121" s="25"/>
      <c r="BD121" s="25" t="s">
        <v>71</v>
      </c>
      <c r="BE121" s="25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5" t="s">
        <v>71</v>
      </c>
      <c r="BO121" s="25"/>
      <c r="BP121" s="25"/>
      <c r="BQ121" s="27" t="s">
        <v>71</v>
      </c>
    </row>
    <row r="122" spans="1:69" s="1" customFormat="1" ht="13.5" customHeight="1">
      <c r="A122" s="16" t="s">
        <v>231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194</v>
      </c>
      <c r="N122" s="23"/>
      <c r="O122" s="23"/>
      <c r="P122" s="31" t="s">
        <v>262</v>
      </c>
      <c r="Q122" s="31"/>
      <c r="R122" s="31"/>
      <c r="S122" s="31"/>
      <c r="T122" s="31"/>
      <c r="U122" s="24">
        <f>13900</f>
        <v>13900</v>
      </c>
      <c r="V122" s="24"/>
      <c r="W122" s="24"/>
      <c r="X122" s="25" t="s">
        <v>71</v>
      </c>
      <c r="Y122" s="25"/>
      <c r="Z122" s="25"/>
      <c r="AA122" s="25"/>
      <c r="AB122" s="24">
        <f>13900</f>
        <v>13900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13900</f>
        <v>13900</v>
      </c>
      <c r="AU122" s="24"/>
      <c r="AV122" s="24"/>
      <c r="AW122" s="25" t="s">
        <v>71</v>
      </c>
      <c r="AX122" s="25"/>
      <c r="AY122" s="25" t="s">
        <v>71</v>
      </c>
      <c r="AZ122" s="25"/>
      <c r="BA122" s="25" t="s">
        <v>71</v>
      </c>
      <c r="BB122" s="25"/>
      <c r="BC122" s="25"/>
      <c r="BD122" s="25" t="s">
        <v>71</v>
      </c>
      <c r="BE122" s="25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5" t="s">
        <v>71</v>
      </c>
      <c r="BO122" s="25"/>
      <c r="BP122" s="25"/>
      <c r="BQ122" s="27" t="s">
        <v>71</v>
      </c>
    </row>
    <row r="123" spans="1:69" s="1" customFormat="1" ht="13.5" customHeight="1">
      <c r="A123" s="16" t="s">
        <v>233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194</v>
      </c>
      <c r="N123" s="23"/>
      <c r="O123" s="23"/>
      <c r="P123" s="31" t="s">
        <v>263</v>
      </c>
      <c r="Q123" s="31"/>
      <c r="R123" s="31"/>
      <c r="S123" s="31"/>
      <c r="T123" s="31"/>
      <c r="U123" s="24">
        <f>41128</f>
        <v>41128</v>
      </c>
      <c r="V123" s="24"/>
      <c r="W123" s="24"/>
      <c r="X123" s="25" t="s">
        <v>71</v>
      </c>
      <c r="Y123" s="25"/>
      <c r="Z123" s="25"/>
      <c r="AA123" s="25"/>
      <c r="AB123" s="24">
        <f>41128</f>
        <v>41128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41128</f>
        <v>41128</v>
      </c>
      <c r="AU123" s="24"/>
      <c r="AV123" s="24"/>
      <c r="AW123" s="25" t="s">
        <v>71</v>
      </c>
      <c r="AX123" s="25"/>
      <c r="AY123" s="25" t="s">
        <v>71</v>
      </c>
      <c r="AZ123" s="25"/>
      <c r="BA123" s="25" t="s">
        <v>71</v>
      </c>
      <c r="BB123" s="25"/>
      <c r="BC123" s="25"/>
      <c r="BD123" s="25" t="s">
        <v>71</v>
      </c>
      <c r="BE123" s="25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5" t="s">
        <v>71</v>
      </c>
      <c r="BO123" s="25"/>
      <c r="BP123" s="25"/>
      <c r="BQ123" s="27" t="s">
        <v>71</v>
      </c>
    </row>
    <row r="124" spans="1:69" s="1" customFormat="1" ht="13.5" customHeight="1">
      <c r="A124" s="16" t="s">
        <v>264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194</v>
      </c>
      <c r="N124" s="23"/>
      <c r="O124" s="23"/>
      <c r="P124" s="31" t="s">
        <v>265</v>
      </c>
      <c r="Q124" s="31"/>
      <c r="R124" s="31"/>
      <c r="S124" s="31"/>
      <c r="T124" s="31"/>
      <c r="U124" s="24">
        <f>238636</f>
        <v>238636</v>
      </c>
      <c r="V124" s="24"/>
      <c r="W124" s="24"/>
      <c r="X124" s="25" t="s">
        <v>71</v>
      </c>
      <c r="Y124" s="25"/>
      <c r="Z124" s="25"/>
      <c r="AA124" s="25"/>
      <c r="AB124" s="24">
        <f>238636</f>
        <v>238636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238636</f>
        <v>238636</v>
      </c>
      <c r="AU124" s="24"/>
      <c r="AV124" s="24"/>
      <c r="AW124" s="25" t="s">
        <v>71</v>
      </c>
      <c r="AX124" s="25"/>
      <c r="AY124" s="24">
        <f>59650</f>
        <v>59650</v>
      </c>
      <c r="AZ124" s="24"/>
      <c r="BA124" s="25" t="s">
        <v>71</v>
      </c>
      <c r="BB124" s="25"/>
      <c r="BC124" s="25"/>
      <c r="BD124" s="24">
        <f>59650</f>
        <v>59650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59650</f>
        <v>59650</v>
      </c>
      <c r="BO124" s="24"/>
      <c r="BP124" s="24"/>
      <c r="BQ124" s="27" t="s">
        <v>71</v>
      </c>
    </row>
    <row r="125" spans="1:69" s="1" customFormat="1" ht="13.5" customHeight="1">
      <c r="A125" s="16" t="s">
        <v>266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194</v>
      </c>
      <c r="N125" s="23"/>
      <c r="O125" s="23"/>
      <c r="P125" s="31" t="s">
        <v>267</v>
      </c>
      <c r="Q125" s="31"/>
      <c r="R125" s="31"/>
      <c r="S125" s="31"/>
      <c r="T125" s="31"/>
      <c r="U125" s="24">
        <f>238636</f>
        <v>238636</v>
      </c>
      <c r="V125" s="24"/>
      <c r="W125" s="24"/>
      <c r="X125" s="25" t="s">
        <v>71</v>
      </c>
      <c r="Y125" s="25"/>
      <c r="Z125" s="25"/>
      <c r="AA125" s="25"/>
      <c r="AB125" s="24">
        <f>238636</f>
        <v>238636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238636</f>
        <v>238636</v>
      </c>
      <c r="AU125" s="24"/>
      <c r="AV125" s="24"/>
      <c r="AW125" s="25" t="s">
        <v>71</v>
      </c>
      <c r="AX125" s="25"/>
      <c r="AY125" s="24">
        <f>59650</f>
        <v>59650</v>
      </c>
      <c r="AZ125" s="24"/>
      <c r="BA125" s="25" t="s">
        <v>71</v>
      </c>
      <c r="BB125" s="25"/>
      <c r="BC125" s="25"/>
      <c r="BD125" s="24">
        <f>59650</f>
        <v>59650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59650</f>
        <v>59650</v>
      </c>
      <c r="BO125" s="24"/>
      <c r="BP125" s="24"/>
      <c r="BQ125" s="27" t="s">
        <v>71</v>
      </c>
    </row>
    <row r="126" spans="1:69" s="1" customFormat="1" ht="54.75" customHeight="1">
      <c r="A126" s="16" t="s">
        <v>199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194</v>
      </c>
      <c r="N126" s="23"/>
      <c r="O126" s="23"/>
      <c r="P126" s="31" t="s">
        <v>268</v>
      </c>
      <c r="Q126" s="31"/>
      <c r="R126" s="31"/>
      <c r="S126" s="31"/>
      <c r="T126" s="31"/>
      <c r="U126" s="24">
        <f>238636</f>
        <v>238636</v>
      </c>
      <c r="V126" s="24"/>
      <c r="W126" s="24"/>
      <c r="X126" s="25" t="s">
        <v>71</v>
      </c>
      <c r="Y126" s="25"/>
      <c r="Z126" s="25"/>
      <c r="AA126" s="25"/>
      <c r="AB126" s="24">
        <f>238636</f>
        <v>238636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238636</f>
        <v>238636</v>
      </c>
      <c r="AU126" s="24"/>
      <c r="AV126" s="24"/>
      <c r="AW126" s="25" t="s">
        <v>71</v>
      </c>
      <c r="AX126" s="25"/>
      <c r="AY126" s="24">
        <f>59650</f>
        <v>59650</v>
      </c>
      <c r="AZ126" s="24"/>
      <c r="BA126" s="25" t="s">
        <v>71</v>
      </c>
      <c r="BB126" s="25"/>
      <c r="BC126" s="25"/>
      <c r="BD126" s="24">
        <f>59650</f>
        <v>59650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59650</f>
        <v>59650</v>
      </c>
      <c r="BO126" s="24"/>
      <c r="BP126" s="24"/>
      <c r="BQ126" s="27" t="s">
        <v>71</v>
      </c>
    </row>
    <row r="127" spans="1:69" s="1" customFormat="1" ht="24" customHeight="1">
      <c r="A127" s="16" t="s">
        <v>201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194</v>
      </c>
      <c r="N127" s="23"/>
      <c r="O127" s="23"/>
      <c r="P127" s="31" t="s">
        <v>269</v>
      </c>
      <c r="Q127" s="31"/>
      <c r="R127" s="31"/>
      <c r="S127" s="31"/>
      <c r="T127" s="31"/>
      <c r="U127" s="24">
        <f>238636</f>
        <v>238636</v>
      </c>
      <c r="V127" s="24"/>
      <c r="W127" s="24"/>
      <c r="X127" s="25" t="s">
        <v>71</v>
      </c>
      <c r="Y127" s="25"/>
      <c r="Z127" s="25"/>
      <c r="AA127" s="25"/>
      <c r="AB127" s="24">
        <f>238636</f>
        <v>238636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238636</f>
        <v>238636</v>
      </c>
      <c r="AU127" s="24"/>
      <c r="AV127" s="24"/>
      <c r="AW127" s="25" t="s">
        <v>71</v>
      </c>
      <c r="AX127" s="25"/>
      <c r="AY127" s="24">
        <f>59650</f>
        <v>59650</v>
      </c>
      <c r="AZ127" s="24"/>
      <c r="BA127" s="25" t="s">
        <v>71</v>
      </c>
      <c r="BB127" s="25"/>
      <c r="BC127" s="25"/>
      <c r="BD127" s="24">
        <f>59650</f>
        <v>59650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59650</f>
        <v>59650</v>
      </c>
      <c r="BO127" s="24"/>
      <c r="BP127" s="24"/>
      <c r="BQ127" s="27" t="s">
        <v>71</v>
      </c>
    </row>
    <row r="128" spans="1:69" s="1" customFormat="1" ht="24" customHeight="1">
      <c r="A128" s="16" t="s">
        <v>203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194</v>
      </c>
      <c r="N128" s="23"/>
      <c r="O128" s="23"/>
      <c r="P128" s="31" t="s">
        <v>270</v>
      </c>
      <c r="Q128" s="31"/>
      <c r="R128" s="31"/>
      <c r="S128" s="31"/>
      <c r="T128" s="31"/>
      <c r="U128" s="24">
        <f>183284</f>
        <v>183284</v>
      </c>
      <c r="V128" s="24"/>
      <c r="W128" s="24"/>
      <c r="X128" s="25" t="s">
        <v>71</v>
      </c>
      <c r="Y128" s="25"/>
      <c r="Z128" s="25"/>
      <c r="AA128" s="25"/>
      <c r="AB128" s="24">
        <f>183284</f>
        <v>183284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183284</f>
        <v>183284</v>
      </c>
      <c r="AU128" s="24"/>
      <c r="AV128" s="24"/>
      <c r="AW128" s="25" t="s">
        <v>71</v>
      </c>
      <c r="AX128" s="25"/>
      <c r="AY128" s="24">
        <f>45814</f>
        <v>45814</v>
      </c>
      <c r="AZ128" s="24"/>
      <c r="BA128" s="25" t="s">
        <v>71</v>
      </c>
      <c r="BB128" s="25"/>
      <c r="BC128" s="25"/>
      <c r="BD128" s="24">
        <f>45814</f>
        <v>45814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45814</f>
        <v>45814</v>
      </c>
      <c r="BO128" s="24"/>
      <c r="BP128" s="24"/>
      <c r="BQ128" s="27" t="s">
        <v>71</v>
      </c>
    </row>
    <row r="129" spans="1:69" s="1" customFormat="1" ht="33.75" customHeight="1">
      <c r="A129" s="16" t="s">
        <v>205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194</v>
      </c>
      <c r="N129" s="23"/>
      <c r="O129" s="23"/>
      <c r="P129" s="31" t="s">
        <v>271</v>
      </c>
      <c r="Q129" s="31"/>
      <c r="R129" s="31"/>
      <c r="S129" s="31"/>
      <c r="T129" s="31"/>
      <c r="U129" s="24">
        <f>55352</f>
        <v>55352</v>
      </c>
      <c r="V129" s="24"/>
      <c r="W129" s="24"/>
      <c r="X129" s="25" t="s">
        <v>71</v>
      </c>
      <c r="Y129" s="25"/>
      <c r="Z129" s="25"/>
      <c r="AA129" s="25"/>
      <c r="AB129" s="24">
        <f>55352</f>
        <v>55352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55352</f>
        <v>55352</v>
      </c>
      <c r="AU129" s="24"/>
      <c r="AV129" s="24"/>
      <c r="AW129" s="25" t="s">
        <v>71</v>
      </c>
      <c r="AX129" s="25"/>
      <c r="AY129" s="24">
        <f>13836</f>
        <v>13836</v>
      </c>
      <c r="AZ129" s="24"/>
      <c r="BA129" s="25" t="s">
        <v>71</v>
      </c>
      <c r="BB129" s="25"/>
      <c r="BC129" s="25"/>
      <c r="BD129" s="24">
        <f>13836</f>
        <v>13836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13836</f>
        <v>13836</v>
      </c>
      <c r="BO129" s="24"/>
      <c r="BP129" s="24"/>
      <c r="BQ129" s="27" t="s">
        <v>71</v>
      </c>
    </row>
    <row r="130" spans="1:69" s="1" customFormat="1" ht="24" customHeight="1">
      <c r="A130" s="16" t="s">
        <v>272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194</v>
      </c>
      <c r="N130" s="23"/>
      <c r="O130" s="23"/>
      <c r="P130" s="31" t="s">
        <v>273</v>
      </c>
      <c r="Q130" s="31"/>
      <c r="R130" s="31"/>
      <c r="S130" s="31"/>
      <c r="T130" s="31"/>
      <c r="U130" s="24">
        <f>800000</f>
        <v>800000</v>
      </c>
      <c r="V130" s="24"/>
      <c r="W130" s="24"/>
      <c r="X130" s="25" t="s">
        <v>71</v>
      </c>
      <c r="Y130" s="25"/>
      <c r="Z130" s="25"/>
      <c r="AA130" s="25"/>
      <c r="AB130" s="24">
        <f>800000</f>
        <v>800000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800000</f>
        <v>800000</v>
      </c>
      <c r="AU130" s="24"/>
      <c r="AV130" s="24"/>
      <c r="AW130" s="25" t="s">
        <v>71</v>
      </c>
      <c r="AX130" s="25"/>
      <c r="AY130" s="25" t="s">
        <v>71</v>
      </c>
      <c r="AZ130" s="25"/>
      <c r="BA130" s="25" t="s">
        <v>71</v>
      </c>
      <c r="BB130" s="25"/>
      <c r="BC130" s="25"/>
      <c r="BD130" s="25" t="s">
        <v>71</v>
      </c>
      <c r="BE130" s="25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5" t="s">
        <v>71</v>
      </c>
      <c r="BO130" s="25"/>
      <c r="BP130" s="25"/>
      <c r="BQ130" s="27" t="s">
        <v>71</v>
      </c>
    </row>
    <row r="131" spans="1:69" s="1" customFormat="1" ht="33.75" customHeight="1">
      <c r="A131" s="16" t="s">
        <v>274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194</v>
      </c>
      <c r="N131" s="23"/>
      <c r="O131" s="23"/>
      <c r="P131" s="31" t="s">
        <v>275</v>
      </c>
      <c r="Q131" s="31"/>
      <c r="R131" s="31"/>
      <c r="S131" s="31"/>
      <c r="T131" s="31"/>
      <c r="U131" s="24">
        <f>800000</f>
        <v>800000</v>
      </c>
      <c r="V131" s="24"/>
      <c r="W131" s="24"/>
      <c r="X131" s="25" t="s">
        <v>71</v>
      </c>
      <c r="Y131" s="25"/>
      <c r="Z131" s="25"/>
      <c r="AA131" s="25"/>
      <c r="AB131" s="24">
        <f>800000</f>
        <v>800000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800000</f>
        <v>800000</v>
      </c>
      <c r="AU131" s="24"/>
      <c r="AV131" s="24"/>
      <c r="AW131" s="25" t="s">
        <v>71</v>
      </c>
      <c r="AX131" s="25"/>
      <c r="AY131" s="25" t="s">
        <v>71</v>
      </c>
      <c r="AZ131" s="25"/>
      <c r="BA131" s="25" t="s">
        <v>71</v>
      </c>
      <c r="BB131" s="25"/>
      <c r="BC131" s="25"/>
      <c r="BD131" s="25" t="s">
        <v>71</v>
      </c>
      <c r="BE131" s="25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5" t="s">
        <v>71</v>
      </c>
      <c r="BO131" s="25"/>
      <c r="BP131" s="25"/>
      <c r="BQ131" s="27" t="s">
        <v>71</v>
      </c>
    </row>
    <row r="132" spans="1:69" s="1" customFormat="1" ht="24" customHeight="1">
      <c r="A132" s="16" t="s">
        <v>213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194</v>
      </c>
      <c r="N132" s="23"/>
      <c r="O132" s="23"/>
      <c r="P132" s="31" t="s">
        <v>276</v>
      </c>
      <c r="Q132" s="31"/>
      <c r="R132" s="31"/>
      <c r="S132" s="31"/>
      <c r="T132" s="31"/>
      <c r="U132" s="24">
        <f>800000</f>
        <v>800000</v>
      </c>
      <c r="V132" s="24"/>
      <c r="W132" s="24"/>
      <c r="X132" s="25" t="s">
        <v>71</v>
      </c>
      <c r="Y132" s="25"/>
      <c r="Z132" s="25"/>
      <c r="AA132" s="25"/>
      <c r="AB132" s="24">
        <f>800000</f>
        <v>800000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800000</f>
        <v>800000</v>
      </c>
      <c r="AU132" s="24"/>
      <c r="AV132" s="24"/>
      <c r="AW132" s="25" t="s">
        <v>71</v>
      </c>
      <c r="AX132" s="25"/>
      <c r="AY132" s="25" t="s">
        <v>71</v>
      </c>
      <c r="AZ132" s="25"/>
      <c r="BA132" s="25" t="s">
        <v>71</v>
      </c>
      <c r="BB132" s="25"/>
      <c r="BC132" s="25"/>
      <c r="BD132" s="25" t="s">
        <v>71</v>
      </c>
      <c r="BE132" s="25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5" t="s">
        <v>71</v>
      </c>
      <c r="BO132" s="25"/>
      <c r="BP132" s="25"/>
      <c r="BQ132" s="27" t="s">
        <v>71</v>
      </c>
    </row>
    <row r="133" spans="1:69" s="1" customFormat="1" ht="24" customHeight="1">
      <c r="A133" s="16" t="s">
        <v>215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194</v>
      </c>
      <c r="N133" s="23"/>
      <c r="O133" s="23"/>
      <c r="P133" s="31" t="s">
        <v>277</v>
      </c>
      <c r="Q133" s="31"/>
      <c r="R133" s="31"/>
      <c r="S133" s="31"/>
      <c r="T133" s="31"/>
      <c r="U133" s="24">
        <f>800000</f>
        <v>800000</v>
      </c>
      <c r="V133" s="24"/>
      <c r="W133" s="24"/>
      <c r="X133" s="25" t="s">
        <v>71</v>
      </c>
      <c r="Y133" s="25"/>
      <c r="Z133" s="25"/>
      <c r="AA133" s="25"/>
      <c r="AB133" s="24">
        <f>800000</f>
        <v>800000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800000</f>
        <v>800000</v>
      </c>
      <c r="AU133" s="24"/>
      <c r="AV133" s="24"/>
      <c r="AW133" s="25" t="s">
        <v>71</v>
      </c>
      <c r="AX133" s="25"/>
      <c r="AY133" s="25" t="s">
        <v>71</v>
      </c>
      <c r="AZ133" s="25"/>
      <c r="BA133" s="25" t="s">
        <v>71</v>
      </c>
      <c r="BB133" s="25"/>
      <c r="BC133" s="25"/>
      <c r="BD133" s="25" t="s">
        <v>71</v>
      </c>
      <c r="BE133" s="25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5" t="s">
        <v>71</v>
      </c>
      <c r="BO133" s="25"/>
      <c r="BP133" s="25"/>
      <c r="BQ133" s="27" t="s">
        <v>71</v>
      </c>
    </row>
    <row r="134" spans="1:69" s="1" customFormat="1" ht="13.5" customHeight="1">
      <c r="A134" s="16" t="s">
        <v>217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194</v>
      </c>
      <c r="N134" s="23"/>
      <c r="O134" s="23"/>
      <c r="P134" s="31" t="s">
        <v>278</v>
      </c>
      <c r="Q134" s="31"/>
      <c r="R134" s="31"/>
      <c r="S134" s="31"/>
      <c r="T134" s="31"/>
      <c r="U134" s="24">
        <f>800000</f>
        <v>800000</v>
      </c>
      <c r="V134" s="24"/>
      <c r="W134" s="24"/>
      <c r="X134" s="25" t="s">
        <v>71</v>
      </c>
      <c r="Y134" s="25"/>
      <c r="Z134" s="25"/>
      <c r="AA134" s="25"/>
      <c r="AB134" s="24">
        <f>800000</f>
        <v>800000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800000</f>
        <v>800000</v>
      </c>
      <c r="AU134" s="24"/>
      <c r="AV134" s="24"/>
      <c r="AW134" s="25" t="s">
        <v>71</v>
      </c>
      <c r="AX134" s="25"/>
      <c r="AY134" s="25" t="s">
        <v>71</v>
      </c>
      <c r="AZ134" s="25"/>
      <c r="BA134" s="25" t="s">
        <v>71</v>
      </c>
      <c r="BB134" s="25"/>
      <c r="BC134" s="25"/>
      <c r="BD134" s="25" t="s">
        <v>71</v>
      </c>
      <c r="BE134" s="25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5" t="s">
        <v>71</v>
      </c>
      <c r="BO134" s="25"/>
      <c r="BP134" s="25"/>
      <c r="BQ134" s="27" t="s">
        <v>71</v>
      </c>
    </row>
    <row r="135" spans="1:69" s="1" customFormat="1" ht="13.5" customHeight="1">
      <c r="A135" s="16" t="s">
        <v>279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194</v>
      </c>
      <c r="N135" s="23"/>
      <c r="O135" s="23"/>
      <c r="P135" s="31" t="s">
        <v>280</v>
      </c>
      <c r="Q135" s="31"/>
      <c r="R135" s="31"/>
      <c r="S135" s="31"/>
      <c r="T135" s="31"/>
      <c r="U135" s="24">
        <f>11123783.46</f>
        <v>11123783.46</v>
      </c>
      <c r="V135" s="24"/>
      <c r="W135" s="24"/>
      <c r="X135" s="25" t="s">
        <v>71</v>
      </c>
      <c r="Y135" s="25"/>
      <c r="Z135" s="25"/>
      <c r="AA135" s="25"/>
      <c r="AB135" s="24">
        <f>11123783.46</f>
        <v>11123783.46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11123783.46</f>
        <v>11123783.46</v>
      </c>
      <c r="AU135" s="24"/>
      <c r="AV135" s="24"/>
      <c r="AW135" s="25" t="s">
        <v>71</v>
      </c>
      <c r="AX135" s="25"/>
      <c r="AY135" s="24">
        <f>71622.1</f>
        <v>71622.1</v>
      </c>
      <c r="AZ135" s="24"/>
      <c r="BA135" s="25" t="s">
        <v>71</v>
      </c>
      <c r="BB135" s="25"/>
      <c r="BC135" s="25"/>
      <c r="BD135" s="24">
        <f>71622.1</f>
        <v>71622.1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71622.1</f>
        <v>71622.1</v>
      </c>
      <c r="BO135" s="24"/>
      <c r="BP135" s="24"/>
      <c r="BQ135" s="27" t="s">
        <v>71</v>
      </c>
    </row>
    <row r="136" spans="1:69" s="1" customFormat="1" ht="13.5" customHeight="1">
      <c r="A136" s="16" t="s">
        <v>281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194</v>
      </c>
      <c r="N136" s="23"/>
      <c r="O136" s="23"/>
      <c r="P136" s="31" t="s">
        <v>282</v>
      </c>
      <c r="Q136" s="31"/>
      <c r="R136" s="31"/>
      <c r="S136" s="31"/>
      <c r="T136" s="31"/>
      <c r="U136" s="24">
        <f>11023783.46</f>
        <v>11023783.46</v>
      </c>
      <c r="V136" s="24"/>
      <c r="W136" s="24"/>
      <c r="X136" s="25" t="s">
        <v>71</v>
      </c>
      <c r="Y136" s="25"/>
      <c r="Z136" s="25"/>
      <c r="AA136" s="25"/>
      <c r="AB136" s="24">
        <f>11023783.46</f>
        <v>11023783.46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11023783.46</f>
        <v>11023783.46</v>
      </c>
      <c r="AU136" s="24"/>
      <c r="AV136" s="24"/>
      <c r="AW136" s="25" t="s">
        <v>71</v>
      </c>
      <c r="AX136" s="25"/>
      <c r="AY136" s="24">
        <f>51622.1</f>
        <v>51622.1</v>
      </c>
      <c r="AZ136" s="24"/>
      <c r="BA136" s="25" t="s">
        <v>71</v>
      </c>
      <c r="BB136" s="25"/>
      <c r="BC136" s="25"/>
      <c r="BD136" s="24">
        <f>51622.1</f>
        <v>51622.1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51622.1</f>
        <v>51622.1</v>
      </c>
      <c r="BO136" s="24"/>
      <c r="BP136" s="24"/>
      <c r="BQ136" s="27" t="s">
        <v>71</v>
      </c>
    </row>
    <row r="137" spans="1:69" s="1" customFormat="1" ht="24" customHeight="1">
      <c r="A137" s="16" t="s">
        <v>213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194</v>
      </c>
      <c r="N137" s="23"/>
      <c r="O137" s="23"/>
      <c r="P137" s="31" t="s">
        <v>283</v>
      </c>
      <c r="Q137" s="31"/>
      <c r="R137" s="31"/>
      <c r="S137" s="31"/>
      <c r="T137" s="31"/>
      <c r="U137" s="24">
        <f>11023783.46</f>
        <v>11023783.46</v>
      </c>
      <c r="V137" s="24"/>
      <c r="W137" s="24"/>
      <c r="X137" s="25" t="s">
        <v>71</v>
      </c>
      <c r="Y137" s="25"/>
      <c r="Z137" s="25"/>
      <c r="AA137" s="25"/>
      <c r="AB137" s="24">
        <f>11023783.46</f>
        <v>11023783.46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11023783.46</f>
        <v>11023783.46</v>
      </c>
      <c r="AU137" s="24"/>
      <c r="AV137" s="24"/>
      <c r="AW137" s="25" t="s">
        <v>71</v>
      </c>
      <c r="AX137" s="25"/>
      <c r="AY137" s="24">
        <f>51622.1</f>
        <v>51622.1</v>
      </c>
      <c r="AZ137" s="24"/>
      <c r="BA137" s="25" t="s">
        <v>71</v>
      </c>
      <c r="BB137" s="25"/>
      <c r="BC137" s="25"/>
      <c r="BD137" s="24">
        <f>51622.1</f>
        <v>51622.1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51622.1</f>
        <v>51622.1</v>
      </c>
      <c r="BO137" s="24"/>
      <c r="BP137" s="24"/>
      <c r="BQ137" s="27" t="s">
        <v>71</v>
      </c>
    </row>
    <row r="138" spans="1:69" s="1" customFormat="1" ht="24" customHeight="1">
      <c r="A138" s="16" t="s">
        <v>215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194</v>
      </c>
      <c r="N138" s="23"/>
      <c r="O138" s="23"/>
      <c r="P138" s="31" t="s">
        <v>284</v>
      </c>
      <c r="Q138" s="31"/>
      <c r="R138" s="31"/>
      <c r="S138" s="31"/>
      <c r="T138" s="31"/>
      <c r="U138" s="24">
        <f>11023783.46</f>
        <v>11023783.46</v>
      </c>
      <c r="V138" s="24"/>
      <c r="W138" s="24"/>
      <c r="X138" s="25" t="s">
        <v>71</v>
      </c>
      <c r="Y138" s="25"/>
      <c r="Z138" s="25"/>
      <c r="AA138" s="25"/>
      <c r="AB138" s="24">
        <f>11023783.46</f>
        <v>11023783.46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11023783.46</f>
        <v>11023783.46</v>
      </c>
      <c r="AU138" s="24"/>
      <c r="AV138" s="24"/>
      <c r="AW138" s="25" t="s">
        <v>71</v>
      </c>
      <c r="AX138" s="25"/>
      <c r="AY138" s="24">
        <f>51622.1</f>
        <v>51622.1</v>
      </c>
      <c r="AZ138" s="24"/>
      <c r="BA138" s="25" t="s">
        <v>71</v>
      </c>
      <c r="BB138" s="25"/>
      <c r="BC138" s="25"/>
      <c r="BD138" s="24">
        <f>51622.1</f>
        <v>51622.1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51622.1</f>
        <v>51622.1</v>
      </c>
      <c r="BO138" s="24"/>
      <c r="BP138" s="24"/>
      <c r="BQ138" s="27" t="s">
        <v>71</v>
      </c>
    </row>
    <row r="139" spans="1:69" s="1" customFormat="1" ht="13.5" customHeight="1">
      <c r="A139" s="16" t="s">
        <v>217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194</v>
      </c>
      <c r="N139" s="23"/>
      <c r="O139" s="23"/>
      <c r="P139" s="31" t="s">
        <v>285</v>
      </c>
      <c r="Q139" s="31"/>
      <c r="R139" s="31"/>
      <c r="S139" s="31"/>
      <c r="T139" s="31"/>
      <c r="U139" s="24">
        <f>11023783.46</f>
        <v>11023783.46</v>
      </c>
      <c r="V139" s="24"/>
      <c r="W139" s="24"/>
      <c r="X139" s="25" t="s">
        <v>71</v>
      </c>
      <c r="Y139" s="25"/>
      <c r="Z139" s="25"/>
      <c r="AA139" s="25"/>
      <c r="AB139" s="24">
        <f>11023783.46</f>
        <v>11023783.46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11023783.46</f>
        <v>11023783.46</v>
      </c>
      <c r="AU139" s="24"/>
      <c r="AV139" s="24"/>
      <c r="AW139" s="25" t="s">
        <v>71</v>
      </c>
      <c r="AX139" s="25"/>
      <c r="AY139" s="24">
        <f>51622.1</f>
        <v>51622.1</v>
      </c>
      <c r="AZ139" s="24"/>
      <c r="BA139" s="25" t="s">
        <v>71</v>
      </c>
      <c r="BB139" s="25"/>
      <c r="BC139" s="25"/>
      <c r="BD139" s="24">
        <f>51622.1</f>
        <v>51622.1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51622.1</f>
        <v>51622.1</v>
      </c>
      <c r="BO139" s="24"/>
      <c r="BP139" s="24"/>
      <c r="BQ139" s="27" t="s">
        <v>71</v>
      </c>
    </row>
    <row r="140" spans="1:69" s="1" customFormat="1" ht="13.5" customHeight="1">
      <c r="A140" s="16" t="s">
        <v>286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194</v>
      </c>
      <c r="N140" s="23"/>
      <c r="O140" s="23"/>
      <c r="P140" s="31" t="s">
        <v>287</v>
      </c>
      <c r="Q140" s="31"/>
      <c r="R140" s="31"/>
      <c r="S140" s="31"/>
      <c r="T140" s="31"/>
      <c r="U140" s="24">
        <f>100000</f>
        <v>100000</v>
      </c>
      <c r="V140" s="24"/>
      <c r="W140" s="24"/>
      <c r="X140" s="25" t="s">
        <v>71</v>
      </c>
      <c r="Y140" s="25"/>
      <c r="Z140" s="25"/>
      <c r="AA140" s="25"/>
      <c r="AB140" s="24">
        <f>100000</f>
        <v>100000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100000</f>
        <v>100000</v>
      </c>
      <c r="AU140" s="24"/>
      <c r="AV140" s="24"/>
      <c r="AW140" s="25" t="s">
        <v>71</v>
      </c>
      <c r="AX140" s="25"/>
      <c r="AY140" s="24">
        <f>20000</f>
        <v>20000</v>
      </c>
      <c r="AZ140" s="24"/>
      <c r="BA140" s="25" t="s">
        <v>71</v>
      </c>
      <c r="BB140" s="25"/>
      <c r="BC140" s="25"/>
      <c r="BD140" s="24">
        <f>20000</f>
        <v>20000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20000</f>
        <v>20000</v>
      </c>
      <c r="BO140" s="24"/>
      <c r="BP140" s="24"/>
      <c r="BQ140" s="27" t="s">
        <v>71</v>
      </c>
    </row>
    <row r="141" spans="1:69" s="1" customFormat="1" ht="24" customHeight="1">
      <c r="A141" s="16" t="s">
        <v>213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194</v>
      </c>
      <c r="N141" s="23"/>
      <c r="O141" s="23"/>
      <c r="P141" s="31" t="s">
        <v>288</v>
      </c>
      <c r="Q141" s="31"/>
      <c r="R141" s="31"/>
      <c r="S141" s="31"/>
      <c r="T141" s="31"/>
      <c r="U141" s="24">
        <f>100000</f>
        <v>100000</v>
      </c>
      <c r="V141" s="24"/>
      <c r="W141" s="24"/>
      <c r="X141" s="25" t="s">
        <v>71</v>
      </c>
      <c r="Y141" s="25"/>
      <c r="Z141" s="25"/>
      <c r="AA141" s="25"/>
      <c r="AB141" s="24">
        <f>100000</f>
        <v>100000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100000</f>
        <v>100000</v>
      </c>
      <c r="AU141" s="24"/>
      <c r="AV141" s="24"/>
      <c r="AW141" s="25" t="s">
        <v>71</v>
      </c>
      <c r="AX141" s="25"/>
      <c r="AY141" s="24">
        <f>20000</f>
        <v>20000</v>
      </c>
      <c r="AZ141" s="24"/>
      <c r="BA141" s="25" t="s">
        <v>71</v>
      </c>
      <c r="BB141" s="25"/>
      <c r="BC141" s="25"/>
      <c r="BD141" s="24">
        <f>20000</f>
        <v>20000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20000</f>
        <v>20000</v>
      </c>
      <c r="BO141" s="24"/>
      <c r="BP141" s="24"/>
      <c r="BQ141" s="27" t="s">
        <v>71</v>
      </c>
    </row>
    <row r="142" spans="1:69" s="1" customFormat="1" ht="24" customHeight="1">
      <c r="A142" s="16" t="s">
        <v>215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194</v>
      </c>
      <c r="N142" s="23"/>
      <c r="O142" s="23"/>
      <c r="P142" s="31" t="s">
        <v>289</v>
      </c>
      <c r="Q142" s="31"/>
      <c r="R142" s="31"/>
      <c r="S142" s="31"/>
      <c r="T142" s="31"/>
      <c r="U142" s="24">
        <f>100000</f>
        <v>100000</v>
      </c>
      <c r="V142" s="24"/>
      <c r="W142" s="24"/>
      <c r="X142" s="25" t="s">
        <v>71</v>
      </c>
      <c r="Y142" s="25"/>
      <c r="Z142" s="25"/>
      <c r="AA142" s="25"/>
      <c r="AB142" s="24">
        <f>100000</f>
        <v>100000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100000</f>
        <v>100000</v>
      </c>
      <c r="AU142" s="24"/>
      <c r="AV142" s="24"/>
      <c r="AW142" s="25" t="s">
        <v>71</v>
      </c>
      <c r="AX142" s="25"/>
      <c r="AY142" s="24">
        <f>20000</f>
        <v>20000</v>
      </c>
      <c r="AZ142" s="24"/>
      <c r="BA142" s="25" t="s">
        <v>71</v>
      </c>
      <c r="BB142" s="25"/>
      <c r="BC142" s="25"/>
      <c r="BD142" s="24">
        <f>20000</f>
        <v>20000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20000</f>
        <v>20000</v>
      </c>
      <c r="BO142" s="24"/>
      <c r="BP142" s="24"/>
      <c r="BQ142" s="27" t="s">
        <v>71</v>
      </c>
    </row>
    <row r="143" spans="1:69" s="1" customFormat="1" ht="13.5" customHeight="1">
      <c r="A143" s="16" t="s">
        <v>217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194</v>
      </c>
      <c r="N143" s="23"/>
      <c r="O143" s="23"/>
      <c r="P143" s="31" t="s">
        <v>290</v>
      </c>
      <c r="Q143" s="31"/>
      <c r="R143" s="31"/>
      <c r="S143" s="31"/>
      <c r="T143" s="31"/>
      <c r="U143" s="24">
        <f>100000</f>
        <v>100000</v>
      </c>
      <c r="V143" s="24"/>
      <c r="W143" s="24"/>
      <c r="X143" s="25" t="s">
        <v>71</v>
      </c>
      <c r="Y143" s="25"/>
      <c r="Z143" s="25"/>
      <c r="AA143" s="25"/>
      <c r="AB143" s="24">
        <f>100000</f>
        <v>100000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100000</f>
        <v>100000</v>
      </c>
      <c r="AU143" s="24"/>
      <c r="AV143" s="24"/>
      <c r="AW143" s="25" t="s">
        <v>71</v>
      </c>
      <c r="AX143" s="25"/>
      <c r="AY143" s="24">
        <f>20000</f>
        <v>20000</v>
      </c>
      <c r="AZ143" s="24"/>
      <c r="BA143" s="25" t="s">
        <v>71</v>
      </c>
      <c r="BB143" s="25"/>
      <c r="BC143" s="25"/>
      <c r="BD143" s="24">
        <f>20000</f>
        <v>20000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20000</f>
        <v>20000</v>
      </c>
      <c r="BO143" s="24"/>
      <c r="BP143" s="24"/>
      <c r="BQ143" s="27" t="s">
        <v>71</v>
      </c>
    </row>
    <row r="144" spans="1:69" s="1" customFormat="1" ht="13.5" customHeight="1">
      <c r="A144" s="16" t="s">
        <v>291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194</v>
      </c>
      <c r="N144" s="23"/>
      <c r="O144" s="23"/>
      <c r="P144" s="31" t="s">
        <v>292</v>
      </c>
      <c r="Q144" s="31"/>
      <c r="R144" s="31"/>
      <c r="S144" s="31"/>
      <c r="T144" s="31"/>
      <c r="U144" s="24">
        <f>11234493</f>
        <v>11234493</v>
      </c>
      <c r="V144" s="24"/>
      <c r="W144" s="24"/>
      <c r="X144" s="25" t="s">
        <v>71</v>
      </c>
      <c r="Y144" s="25"/>
      <c r="Z144" s="25"/>
      <c r="AA144" s="25"/>
      <c r="AB144" s="24">
        <f>11234493</f>
        <v>11234493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11234493</f>
        <v>11234493</v>
      </c>
      <c r="AU144" s="24"/>
      <c r="AV144" s="24"/>
      <c r="AW144" s="25" t="s">
        <v>71</v>
      </c>
      <c r="AX144" s="25"/>
      <c r="AY144" s="24">
        <f>1148838.49</f>
        <v>1148838.49</v>
      </c>
      <c r="AZ144" s="24"/>
      <c r="BA144" s="25" t="s">
        <v>71</v>
      </c>
      <c r="BB144" s="25"/>
      <c r="BC144" s="25"/>
      <c r="BD144" s="24">
        <f>1148838.49</f>
        <v>1148838.49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1148838.49</f>
        <v>1148838.49</v>
      </c>
      <c r="BO144" s="24"/>
      <c r="BP144" s="24"/>
      <c r="BQ144" s="27" t="s">
        <v>71</v>
      </c>
    </row>
    <row r="145" spans="1:69" s="1" customFormat="1" ht="13.5" customHeight="1">
      <c r="A145" s="16" t="s">
        <v>293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194</v>
      </c>
      <c r="N145" s="23"/>
      <c r="O145" s="23"/>
      <c r="P145" s="31" t="s">
        <v>294</v>
      </c>
      <c r="Q145" s="31"/>
      <c r="R145" s="31"/>
      <c r="S145" s="31"/>
      <c r="T145" s="31"/>
      <c r="U145" s="24">
        <f>716190</f>
        <v>716190</v>
      </c>
      <c r="V145" s="24"/>
      <c r="W145" s="24"/>
      <c r="X145" s="25" t="s">
        <v>71</v>
      </c>
      <c r="Y145" s="25"/>
      <c r="Z145" s="25"/>
      <c r="AA145" s="25"/>
      <c r="AB145" s="24">
        <f>716190</f>
        <v>716190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716190</f>
        <v>716190</v>
      </c>
      <c r="AU145" s="24"/>
      <c r="AV145" s="24"/>
      <c r="AW145" s="25" t="s">
        <v>71</v>
      </c>
      <c r="AX145" s="25"/>
      <c r="AY145" s="24">
        <f>106453.44</f>
        <v>106453.44</v>
      </c>
      <c r="AZ145" s="24"/>
      <c r="BA145" s="25" t="s">
        <v>71</v>
      </c>
      <c r="BB145" s="25"/>
      <c r="BC145" s="25"/>
      <c r="BD145" s="24">
        <f>106453.44</f>
        <v>106453.44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106453.44</f>
        <v>106453.44</v>
      </c>
      <c r="BO145" s="24"/>
      <c r="BP145" s="24"/>
      <c r="BQ145" s="27" t="s">
        <v>71</v>
      </c>
    </row>
    <row r="146" spans="1:69" s="1" customFormat="1" ht="24" customHeight="1">
      <c r="A146" s="16" t="s">
        <v>213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194</v>
      </c>
      <c r="N146" s="23"/>
      <c r="O146" s="23"/>
      <c r="P146" s="31" t="s">
        <v>295</v>
      </c>
      <c r="Q146" s="31"/>
      <c r="R146" s="31"/>
      <c r="S146" s="31"/>
      <c r="T146" s="31"/>
      <c r="U146" s="24">
        <f>716190</f>
        <v>716190</v>
      </c>
      <c r="V146" s="24"/>
      <c r="W146" s="24"/>
      <c r="X146" s="25" t="s">
        <v>71</v>
      </c>
      <c r="Y146" s="25"/>
      <c r="Z146" s="25"/>
      <c r="AA146" s="25"/>
      <c r="AB146" s="24">
        <f>716190</f>
        <v>716190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716190</f>
        <v>716190</v>
      </c>
      <c r="AU146" s="24"/>
      <c r="AV146" s="24"/>
      <c r="AW146" s="25" t="s">
        <v>71</v>
      </c>
      <c r="AX146" s="25"/>
      <c r="AY146" s="24">
        <f>106453.44</f>
        <v>106453.44</v>
      </c>
      <c r="AZ146" s="24"/>
      <c r="BA146" s="25" t="s">
        <v>71</v>
      </c>
      <c r="BB146" s="25"/>
      <c r="BC146" s="25"/>
      <c r="BD146" s="24">
        <f>106453.44</f>
        <v>106453.44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106453.44</f>
        <v>106453.44</v>
      </c>
      <c r="BO146" s="24"/>
      <c r="BP146" s="24"/>
      <c r="BQ146" s="27" t="s">
        <v>71</v>
      </c>
    </row>
    <row r="147" spans="1:69" s="1" customFormat="1" ht="24" customHeight="1">
      <c r="A147" s="16" t="s">
        <v>215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194</v>
      </c>
      <c r="N147" s="23"/>
      <c r="O147" s="23"/>
      <c r="P147" s="31" t="s">
        <v>296</v>
      </c>
      <c r="Q147" s="31"/>
      <c r="R147" s="31"/>
      <c r="S147" s="31"/>
      <c r="T147" s="31"/>
      <c r="U147" s="24">
        <f>716190</f>
        <v>716190</v>
      </c>
      <c r="V147" s="24"/>
      <c r="W147" s="24"/>
      <c r="X147" s="25" t="s">
        <v>71</v>
      </c>
      <c r="Y147" s="25"/>
      <c r="Z147" s="25"/>
      <c r="AA147" s="25"/>
      <c r="AB147" s="24">
        <f>716190</f>
        <v>716190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716190</f>
        <v>716190</v>
      </c>
      <c r="AU147" s="24"/>
      <c r="AV147" s="24"/>
      <c r="AW147" s="25" t="s">
        <v>71</v>
      </c>
      <c r="AX147" s="25"/>
      <c r="AY147" s="24">
        <f>106453.44</f>
        <v>106453.44</v>
      </c>
      <c r="AZ147" s="24"/>
      <c r="BA147" s="25" t="s">
        <v>71</v>
      </c>
      <c r="BB147" s="25"/>
      <c r="BC147" s="25"/>
      <c r="BD147" s="24">
        <f>106453.44</f>
        <v>106453.44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106453.44</f>
        <v>106453.44</v>
      </c>
      <c r="BO147" s="24"/>
      <c r="BP147" s="24"/>
      <c r="BQ147" s="27" t="s">
        <v>71</v>
      </c>
    </row>
    <row r="148" spans="1:69" s="1" customFormat="1" ht="13.5" customHeight="1">
      <c r="A148" s="16" t="s">
        <v>217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194</v>
      </c>
      <c r="N148" s="23"/>
      <c r="O148" s="23"/>
      <c r="P148" s="31" t="s">
        <v>297</v>
      </c>
      <c r="Q148" s="31"/>
      <c r="R148" s="31"/>
      <c r="S148" s="31"/>
      <c r="T148" s="31"/>
      <c r="U148" s="24">
        <f>716190</f>
        <v>716190</v>
      </c>
      <c r="V148" s="24"/>
      <c r="W148" s="24"/>
      <c r="X148" s="25" t="s">
        <v>71</v>
      </c>
      <c r="Y148" s="25"/>
      <c r="Z148" s="25"/>
      <c r="AA148" s="25"/>
      <c r="AB148" s="24">
        <f>716190</f>
        <v>716190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716190</f>
        <v>716190</v>
      </c>
      <c r="AU148" s="24"/>
      <c r="AV148" s="24"/>
      <c r="AW148" s="25" t="s">
        <v>71</v>
      </c>
      <c r="AX148" s="25"/>
      <c r="AY148" s="24">
        <f>106453.44</f>
        <v>106453.44</v>
      </c>
      <c r="AZ148" s="24"/>
      <c r="BA148" s="25" t="s">
        <v>71</v>
      </c>
      <c r="BB148" s="25"/>
      <c r="BC148" s="25"/>
      <c r="BD148" s="24">
        <f>106453.44</f>
        <v>106453.44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106453.44</f>
        <v>106453.44</v>
      </c>
      <c r="BO148" s="24"/>
      <c r="BP148" s="24"/>
      <c r="BQ148" s="27" t="s">
        <v>71</v>
      </c>
    </row>
    <row r="149" spans="1:69" s="1" customFormat="1" ht="13.5" customHeight="1">
      <c r="A149" s="16" t="s">
        <v>298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194</v>
      </c>
      <c r="N149" s="23"/>
      <c r="O149" s="23"/>
      <c r="P149" s="31" t="s">
        <v>299</v>
      </c>
      <c r="Q149" s="31"/>
      <c r="R149" s="31"/>
      <c r="S149" s="31"/>
      <c r="T149" s="31"/>
      <c r="U149" s="24">
        <f>10518303</f>
        <v>10518303</v>
      </c>
      <c r="V149" s="24"/>
      <c r="W149" s="24"/>
      <c r="X149" s="25" t="s">
        <v>71</v>
      </c>
      <c r="Y149" s="25"/>
      <c r="Z149" s="25"/>
      <c r="AA149" s="25"/>
      <c r="AB149" s="24">
        <f>10518303</f>
        <v>10518303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10518303</f>
        <v>10518303</v>
      </c>
      <c r="AU149" s="24"/>
      <c r="AV149" s="24"/>
      <c r="AW149" s="25" t="s">
        <v>71</v>
      </c>
      <c r="AX149" s="25"/>
      <c r="AY149" s="24">
        <f>1042385.05</f>
        <v>1042385.05</v>
      </c>
      <c r="AZ149" s="24"/>
      <c r="BA149" s="25" t="s">
        <v>71</v>
      </c>
      <c r="BB149" s="25"/>
      <c r="BC149" s="25"/>
      <c r="BD149" s="24">
        <f>1042385.05</f>
        <v>1042385.05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1042385.05</f>
        <v>1042385.05</v>
      </c>
      <c r="BO149" s="24"/>
      <c r="BP149" s="24"/>
      <c r="BQ149" s="27" t="s">
        <v>71</v>
      </c>
    </row>
    <row r="150" spans="1:69" s="1" customFormat="1" ht="54.75" customHeight="1">
      <c r="A150" s="16" t="s">
        <v>199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194</v>
      </c>
      <c r="N150" s="23"/>
      <c r="O150" s="23"/>
      <c r="P150" s="31" t="s">
        <v>300</v>
      </c>
      <c r="Q150" s="31"/>
      <c r="R150" s="31"/>
      <c r="S150" s="31"/>
      <c r="T150" s="31"/>
      <c r="U150" s="24">
        <f>1928889</f>
        <v>1928889</v>
      </c>
      <c r="V150" s="24"/>
      <c r="W150" s="24"/>
      <c r="X150" s="25" t="s">
        <v>71</v>
      </c>
      <c r="Y150" s="25"/>
      <c r="Z150" s="25"/>
      <c r="AA150" s="25"/>
      <c r="AB150" s="24">
        <f>1928889</f>
        <v>1928889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1928889</f>
        <v>1928889</v>
      </c>
      <c r="AU150" s="24"/>
      <c r="AV150" s="24"/>
      <c r="AW150" s="25" t="s">
        <v>71</v>
      </c>
      <c r="AX150" s="25"/>
      <c r="AY150" s="24">
        <f>361983.6</f>
        <v>361983.6</v>
      </c>
      <c r="AZ150" s="24"/>
      <c r="BA150" s="25" t="s">
        <v>71</v>
      </c>
      <c r="BB150" s="25"/>
      <c r="BC150" s="25"/>
      <c r="BD150" s="24">
        <f>361983.6</f>
        <v>361983.6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361983.6</f>
        <v>361983.6</v>
      </c>
      <c r="BO150" s="24"/>
      <c r="BP150" s="24"/>
      <c r="BQ150" s="27" t="s">
        <v>71</v>
      </c>
    </row>
    <row r="151" spans="1:69" s="1" customFormat="1" ht="13.5" customHeight="1">
      <c r="A151" s="16" t="s">
        <v>247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194</v>
      </c>
      <c r="N151" s="23"/>
      <c r="O151" s="23"/>
      <c r="P151" s="31" t="s">
        <v>301</v>
      </c>
      <c r="Q151" s="31"/>
      <c r="R151" s="31"/>
      <c r="S151" s="31"/>
      <c r="T151" s="31"/>
      <c r="U151" s="24">
        <f>1928889</f>
        <v>1928889</v>
      </c>
      <c r="V151" s="24"/>
      <c r="W151" s="24"/>
      <c r="X151" s="25" t="s">
        <v>71</v>
      </c>
      <c r="Y151" s="25"/>
      <c r="Z151" s="25"/>
      <c r="AA151" s="25"/>
      <c r="AB151" s="24">
        <f>1928889</f>
        <v>1928889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1928889</f>
        <v>1928889</v>
      </c>
      <c r="AU151" s="24"/>
      <c r="AV151" s="24"/>
      <c r="AW151" s="25" t="s">
        <v>71</v>
      </c>
      <c r="AX151" s="25"/>
      <c r="AY151" s="24">
        <f>361983.6</f>
        <v>361983.6</v>
      </c>
      <c r="AZ151" s="24"/>
      <c r="BA151" s="25" t="s">
        <v>71</v>
      </c>
      <c r="BB151" s="25"/>
      <c r="BC151" s="25"/>
      <c r="BD151" s="24">
        <f>361983.6</f>
        <v>361983.6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361983.6</f>
        <v>361983.6</v>
      </c>
      <c r="BO151" s="24"/>
      <c r="BP151" s="24"/>
      <c r="BQ151" s="27" t="s">
        <v>71</v>
      </c>
    </row>
    <row r="152" spans="1:69" s="1" customFormat="1" ht="13.5" customHeight="1">
      <c r="A152" s="16" t="s">
        <v>249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194</v>
      </c>
      <c r="N152" s="23"/>
      <c r="O152" s="23"/>
      <c r="P152" s="31" t="s">
        <v>302</v>
      </c>
      <c r="Q152" s="31"/>
      <c r="R152" s="31"/>
      <c r="S152" s="31"/>
      <c r="T152" s="31"/>
      <c r="U152" s="24">
        <f>1481481</f>
        <v>1481481</v>
      </c>
      <c r="V152" s="24"/>
      <c r="W152" s="24"/>
      <c r="X152" s="25" t="s">
        <v>71</v>
      </c>
      <c r="Y152" s="25"/>
      <c r="Z152" s="25"/>
      <c r="AA152" s="25"/>
      <c r="AB152" s="24">
        <f>1481481</f>
        <v>1481481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1481481</f>
        <v>1481481</v>
      </c>
      <c r="AU152" s="24"/>
      <c r="AV152" s="24"/>
      <c r="AW152" s="25" t="s">
        <v>71</v>
      </c>
      <c r="AX152" s="25"/>
      <c r="AY152" s="24">
        <f>291423.6</f>
        <v>291423.6</v>
      </c>
      <c r="AZ152" s="24"/>
      <c r="BA152" s="25" t="s">
        <v>71</v>
      </c>
      <c r="BB152" s="25"/>
      <c r="BC152" s="25"/>
      <c r="BD152" s="24">
        <f>291423.6</f>
        <v>291423.6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291423.6</f>
        <v>291423.6</v>
      </c>
      <c r="BO152" s="24"/>
      <c r="BP152" s="24"/>
      <c r="BQ152" s="27" t="s">
        <v>71</v>
      </c>
    </row>
    <row r="153" spans="1:69" s="1" customFormat="1" ht="33.75" customHeight="1">
      <c r="A153" s="16" t="s">
        <v>253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194</v>
      </c>
      <c r="N153" s="23"/>
      <c r="O153" s="23"/>
      <c r="P153" s="31" t="s">
        <v>303</v>
      </c>
      <c r="Q153" s="31"/>
      <c r="R153" s="31"/>
      <c r="S153" s="31"/>
      <c r="T153" s="31"/>
      <c r="U153" s="24">
        <f>447408</f>
        <v>447408</v>
      </c>
      <c r="V153" s="24"/>
      <c r="W153" s="24"/>
      <c r="X153" s="25" t="s">
        <v>71</v>
      </c>
      <c r="Y153" s="25"/>
      <c r="Z153" s="25"/>
      <c r="AA153" s="25"/>
      <c r="AB153" s="24">
        <f>447408</f>
        <v>447408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447408</f>
        <v>447408</v>
      </c>
      <c r="AU153" s="24"/>
      <c r="AV153" s="24"/>
      <c r="AW153" s="25" t="s">
        <v>71</v>
      </c>
      <c r="AX153" s="25"/>
      <c r="AY153" s="24">
        <f>70560</f>
        <v>70560</v>
      </c>
      <c r="AZ153" s="24"/>
      <c r="BA153" s="25" t="s">
        <v>71</v>
      </c>
      <c r="BB153" s="25"/>
      <c r="BC153" s="25"/>
      <c r="BD153" s="24">
        <f>70560</f>
        <v>70560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70560</f>
        <v>70560</v>
      </c>
      <c r="BO153" s="24"/>
      <c r="BP153" s="24"/>
      <c r="BQ153" s="27" t="s">
        <v>71</v>
      </c>
    </row>
    <row r="154" spans="1:69" s="1" customFormat="1" ht="24" customHeight="1">
      <c r="A154" s="16" t="s">
        <v>213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194</v>
      </c>
      <c r="N154" s="23"/>
      <c r="O154" s="23"/>
      <c r="P154" s="31" t="s">
        <v>304</v>
      </c>
      <c r="Q154" s="31"/>
      <c r="R154" s="31"/>
      <c r="S154" s="31"/>
      <c r="T154" s="31"/>
      <c r="U154" s="24">
        <f>8519414</f>
        <v>8519414</v>
      </c>
      <c r="V154" s="24"/>
      <c r="W154" s="24"/>
      <c r="X154" s="25" t="s">
        <v>71</v>
      </c>
      <c r="Y154" s="25"/>
      <c r="Z154" s="25"/>
      <c r="AA154" s="25"/>
      <c r="AB154" s="24">
        <f>8519414</f>
        <v>8519414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8519414</f>
        <v>8519414</v>
      </c>
      <c r="AU154" s="24"/>
      <c r="AV154" s="24"/>
      <c r="AW154" s="25" t="s">
        <v>71</v>
      </c>
      <c r="AX154" s="25"/>
      <c r="AY154" s="24">
        <f>680401.45</f>
        <v>680401.45</v>
      </c>
      <c r="AZ154" s="24"/>
      <c r="BA154" s="25" t="s">
        <v>71</v>
      </c>
      <c r="BB154" s="25"/>
      <c r="BC154" s="25"/>
      <c r="BD154" s="24">
        <f>680401.45</f>
        <v>680401.45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680401.45</f>
        <v>680401.45</v>
      </c>
      <c r="BO154" s="24"/>
      <c r="BP154" s="24"/>
      <c r="BQ154" s="27" t="s">
        <v>71</v>
      </c>
    </row>
    <row r="155" spans="1:69" s="1" customFormat="1" ht="24" customHeight="1">
      <c r="A155" s="16" t="s">
        <v>215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194</v>
      </c>
      <c r="N155" s="23"/>
      <c r="O155" s="23"/>
      <c r="P155" s="31" t="s">
        <v>305</v>
      </c>
      <c r="Q155" s="31"/>
      <c r="R155" s="31"/>
      <c r="S155" s="31"/>
      <c r="T155" s="31"/>
      <c r="U155" s="24">
        <f>8519414</f>
        <v>8519414</v>
      </c>
      <c r="V155" s="24"/>
      <c r="W155" s="24"/>
      <c r="X155" s="25" t="s">
        <v>71</v>
      </c>
      <c r="Y155" s="25"/>
      <c r="Z155" s="25"/>
      <c r="AA155" s="25"/>
      <c r="AB155" s="24">
        <f>8519414</f>
        <v>8519414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8519414</f>
        <v>8519414</v>
      </c>
      <c r="AU155" s="24"/>
      <c r="AV155" s="24"/>
      <c r="AW155" s="25" t="s">
        <v>71</v>
      </c>
      <c r="AX155" s="25"/>
      <c r="AY155" s="24">
        <f>680401.45</f>
        <v>680401.45</v>
      </c>
      <c r="AZ155" s="24"/>
      <c r="BA155" s="25" t="s">
        <v>71</v>
      </c>
      <c r="BB155" s="25"/>
      <c r="BC155" s="25"/>
      <c r="BD155" s="24">
        <f>680401.45</f>
        <v>680401.45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680401.45</f>
        <v>680401.45</v>
      </c>
      <c r="BO155" s="24"/>
      <c r="BP155" s="24"/>
      <c r="BQ155" s="27" t="s">
        <v>71</v>
      </c>
    </row>
    <row r="156" spans="1:69" s="1" customFormat="1" ht="13.5" customHeight="1">
      <c r="A156" s="16" t="s">
        <v>217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194</v>
      </c>
      <c r="N156" s="23"/>
      <c r="O156" s="23"/>
      <c r="P156" s="31" t="s">
        <v>306</v>
      </c>
      <c r="Q156" s="31"/>
      <c r="R156" s="31"/>
      <c r="S156" s="31"/>
      <c r="T156" s="31"/>
      <c r="U156" s="24">
        <f>6519414</f>
        <v>6519414</v>
      </c>
      <c r="V156" s="24"/>
      <c r="W156" s="24"/>
      <c r="X156" s="25" t="s">
        <v>71</v>
      </c>
      <c r="Y156" s="25"/>
      <c r="Z156" s="25"/>
      <c r="AA156" s="25"/>
      <c r="AB156" s="24">
        <f>6519414</f>
        <v>6519414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6519414</f>
        <v>6519414</v>
      </c>
      <c r="AU156" s="24"/>
      <c r="AV156" s="24"/>
      <c r="AW156" s="25" t="s">
        <v>71</v>
      </c>
      <c r="AX156" s="25"/>
      <c r="AY156" s="24">
        <f>194615.24</f>
        <v>194615.24</v>
      </c>
      <c r="AZ156" s="24"/>
      <c r="BA156" s="25" t="s">
        <v>71</v>
      </c>
      <c r="BB156" s="25"/>
      <c r="BC156" s="25"/>
      <c r="BD156" s="24">
        <f>194615.24</f>
        <v>194615.24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194615.24</f>
        <v>194615.24</v>
      </c>
      <c r="BO156" s="24"/>
      <c r="BP156" s="24"/>
      <c r="BQ156" s="27" t="s">
        <v>71</v>
      </c>
    </row>
    <row r="157" spans="1:69" s="1" customFormat="1" ht="13.5" customHeight="1">
      <c r="A157" s="16" t="s">
        <v>219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194</v>
      </c>
      <c r="N157" s="23"/>
      <c r="O157" s="23"/>
      <c r="P157" s="31" t="s">
        <v>307</v>
      </c>
      <c r="Q157" s="31"/>
      <c r="R157" s="31"/>
      <c r="S157" s="31"/>
      <c r="T157" s="31"/>
      <c r="U157" s="24">
        <f>2000000</f>
        <v>2000000</v>
      </c>
      <c r="V157" s="24"/>
      <c r="W157" s="24"/>
      <c r="X157" s="25" t="s">
        <v>71</v>
      </c>
      <c r="Y157" s="25"/>
      <c r="Z157" s="25"/>
      <c r="AA157" s="25"/>
      <c r="AB157" s="24">
        <f>2000000</f>
        <v>2000000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2000000</f>
        <v>2000000</v>
      </c>
      <c r="AU157" s="24"/>
      <c r="AV157" s="24"/>
      <c r="AW157" s="25" t="s">
        <v>71</v>
      </c>
      <c r="AX157" s="25"/>
      <c r="AY157" s="24">
        <f>485786.21</f>
        <v>485786.21</v>
      </c>
      <c r="AZ157" s="24"/>
      <c r="BA157" s="25" t="s">
        <v>71</v>
      </c>
      <c r="BB157" s="25"/>
      <c r="BC157" s="25"/>
      <c r="BD157" s="24">
        <f>485786.21</f>
        <v>485786.21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485786.21</f>
        <v>485786.21</v>
      </c>
      <c r="BO157" s="24"/>
      <c r="BP157" s="24"/>
      <c r="BQ157" s="27" t="s">
        <v>71</v>
      </c>
    </row>
    <row r="158" spans="1:69" s="1" customFormat="1" ht="13.5" customHeight="1">
      <c r="A158" s="16" t="s">
        <v>225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194</v>
      </c>
      <c r="N158" s="23"/>
      <c r="O158" s="23"/>
      <c r="P158" s="31" t="s">
        <v>308</v>
      </c>
      <c r="Q158" s="31"/>
      <c r="R158" s="31"/>
      <c r="S158" s="31"/>
      <c r="T158" s="31"/>
      <c r="U158" s="24">
        <f>70000</f>
        <v>70000</v>
      </c>
      <c r="V158" s="24"/>
      <c r="W158" s="24"/>
      <c r="X158" s="25" t="s">
        <v>71</v>
      </c>
      <c r="Y158" s="25"/>
      <c r="Z158" s="25"/>
      <c r="AA158" s="25"/>
      <c r="AB158" s="24">
        <f>70000</f>
        <v>70000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70000</f>
        <v>70000</v>
      </c>
      <c r="AU158" s="24"/>
      <c r="AV158" s="24"/>
      <c r="AW158" s="25" t="s">
        <v>71</v>
      </c>
      <c r="AX158" s="25"/>
      <c r="AY158" s="25" t="s">
        <v>71</v>
      </c>
      <c r="AZ158" s="25"/>
      <c r="BA158" s="25" t="s">
        <v>71</v>
      </c>
      <c r="BB158" s="25"/>
      <c r="BC158" s="25"/>
      <c r="BD158" s="25" t="s">
        <v>71</v>
      </c>
      <c r="BE158" s="25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5" t="s">
        <v>71</v>
      </c>
      <c r="BO158" s="25"/>
      <c r="BP158" s="25"/>
      <c r="BQ158" s="27" t="s">
        <v>71</v>
      </c>
    </row>
    <row r="159" spans="1:69" s="1" customFormat="1" ht="13.5" customHeight="1">
      <c r="A159" s="16" t="s">
        <v>227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194</v>
      </c>
      <c r="N159" s="23"/>
      <c r="O159" s="23"/>
      <c r="P159" s="31" t="s">
        <v>309</v>
      </c>
      <c r="Q159" s="31"/>
      <c r="R159" s="31"/>
      <c r="S159" s="31"/>
      <c r="T159" s="31"/>
      <c r="U159" s="24">
        <f>70000</f>
        <v>70000</v>
      </c>
      <c r="V159" s="24"/>
      <c r="W159" s="24"/>
      <c r="X159" s="25" t="s">
        <v>71</v>
      </c>
      <c r="Y159" s="25"/>
      <c r="Z159" s="25"/>
      <c r="AA159" s="25"/>
      <c r="AB159" s="24">
        <f>70000</f>
        <v>70000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70000</f>
        <v>70000</v>
      </c>
      <c r="AU159" s="24"/>
      <c r="AV159" s="24"/>
      <c r="AW159" s="25" t="s">
        <v>71</v>
      </c>
      <c r="AX159" s="25"/>
      <c r="AY159" s="25" t="s">
        <v>71</v>
      </c>
      <c r="AZ159" s="25"/>
      <c r="BA159" s="25" t="s">
        <v>71</v>
      </c>
      <c r="BB159" s="25"/>
      <c r="BC159" s="25"/>
      <c r="BD159" s="25" t="s">
        <v>71</v>
      </c>
      <c r="BE159" s="25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5" t="s">
        <v>71</v>
      </c>
      <c r="BO159" s="25"/>
      <c r="BP159" s="25"/>
      <c r="BQ159" s="27" t="s">
        <v>71</v>
      </c>
    </row>
    <row r="160" spans="1:69" s="1" customFormat="1" ht="24" customHeight="1">
      <c r="A160" s="16" t="s">
        <v>229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194</v>
      </c>
      <c r="N160" s="23"/>
      <c r="O160" s="23"/>
      <c r="P160" s="31" t="s">
        <v>310</v>
      </c>
      <c r="Q160" s="31"/>
      <c r="R160" s="31"/>
      <c r="S160" s="31"/>
      <c r="T160" s="31"/>
      <c r="U160" s="24">
        <f>60000</f>
        <v>60000</v>
      </c>
      <c r="V160" s="24"/>
      <c r="W160" s="24"/>
      <c r="X160" s="25" t="s">
        <v>71</v>
      </c>
      <c r="Y160" s="25"/>
      <c r="Z160" s="25"/>
      <c r="AA160" s="25"/>
      <c r="AB160" s="24">
        <f>60000</f>
        <v>60000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60000</f>
        <v>60000</v>
      </c>
      <c r="AU160" s="24"/>
      <c r="AV160" s="24"/>
      <c r="AW160" s="25" t="s">
        <v>71</v>
      </c>
      <c r="AX160" s="25"/>
      <c r="AY160" s="25" t="s">
        <v>71</v>
      </c>
      <c r="AZ160" s="25"/>
      <c r="BA160" s="25" t="s">
        <v>71</v>
      </c>
      <c r="BB160" s="25"/>
      <c r="BC160" s="25"/>
      <c r="BD160" s="25" t="s">
        <v>71</v>
      </c>
      <c r="BE160" s="25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5" t="s">
        <v>71</v>
      </c>
      <c r="BO160" s="25"/>
      <c r="BP160" s="25"/>
      <c r="BQ160" s="27" t="s">
        <v>71</v>
      </c>
    </row>
    <row r="161" spans="1:69" s="1" customFormat="1" ht="13.5" customHeight="1">
      <c r="A161" s="16" t="s">
        <v>231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194</v>
      </c>
      <c r="N161" s="23"/>
      <c r="O161" s="23"/>
      <c r="P161" s="31" t="s">
        <v>311</v>
      </c>
      <c r="Q161" s="31"/>
      <c r="R161" s="31"/>
      <c r="S161" s="31"/>
      <c r="T161" s="31"/>
      <c r="U161" s="24">
        <f>9900</f>
        <v>9900</v>
      </c>
      <c r="V161" s="24"/>
      <c r="W161" s="24"/>
      <c r="X161" s="25" t="s">
        <v>71</v>
      </c>
      <c r="Y161" s="25"/>
      <c r="Z161" s="25"/>
      <c r="AA161" s="25"/>
      <c r="AB161" s="24">
        <f>9900</f>
        <v>9900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9900</f>
        <v>9900</v>
      </c>
      <c r="AU161" s="24"/>
      <c r="AV161" s="24"/>
      <c r="AW161" s="25" t="s">
        <v>71</v>
      </c>
      <c r="AX161" s="25"/>
      <c r="AY161" s="25" t="s">
        <v>71</v>
      </c>
      <c r="AZ161" s="25"/>
      <c r="BA161" s="25" t="s">
        <v>71</v>
      </c>
      <c r="BB161" s="25"/>
      <c r="BC161" s="25"/>
      <c r="BD161" s="25" t="s">
        <v>71</v>
      </c>
      <c r="BE161" s="25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5" t="s">
        <v>71</v>
      </c>
      <c r="BO161" s="25"/>
      <c r="BP161" s="25"/>
      <c r="BQ161" s="27" t="s">
        <v>71</v>
      </c>
    </row>
    <row r="162" spans="1:69" s="1" customFormat="1" ht="13.5" customHeight="1">
      <c r="A162" s="16" t="s">
        <v>233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194</v>
      </c>
      <c r="N162" s="23"/>
      <c r="O162" s="23"/>
      <c r="P162" s="31" t="s">
        <v>312</v>
      </c>
      <c r="Q162" s="31"/>
      <c r="R162" s="31"/>
      <c r="S162" s="31"/>
      <c r="T162" s="31"/>
      <c r="U162" s="24">
        <f>100</f>
        <v>100</v>
      </c>
      <c r="V162" s="24"/>
      <c r="W162" s="24"/>
      <c r="X162" s="25" t="s">
        <v>71</v>
      </c>
      <c r="Y162" s="25"/>
      <c r="Z162" s="25"/>
      <c r="AA162" s="25"/>
      <c r="AB162" s="24">
        <f>100</f>
        <v>100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100</f>
        <v>100</v>
      </c>
      <c r="AU162" s="24"/>
      <c r="AV162" s="24"/>
      <c r="AW162" s="25" t="s">
        <v>71</v>
      </c>
      <c r="AX162" s="25"/>
      <c r="AY162" s="25" t="s">
        <v>71</v>
      </c>
      <c r="AZ162" s="25"/>
      <c r="BA162" s="25" t="s">
        <v>71</v>
      </c>
      <c r="BB162" s="25"/>
      <c r="BC162" s="25"/>
      <c r="BD162" s="25" t="s">
        <v>71</v>
      </c>
      <c r="BE162" s="25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5" t="s">
        <v>71</v>
      </c>
      <c r="BO162" s="25"/>
      <c r="BP162" s="25"/>
      <c r="BQ162" s="27" t="s">
        <v>71</v>
      </c>
    </row>
    <row r="163" spans="1:69" s="1" customFormat="1" ht="13.5" customHeight="1">
      <c r="A163" s="16" t="s">
        <v>313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194</v>
      </c>
      <c r="N163" s="23"/>
      <c r="O163" s="23"/>
      <c r="P163" s="31" t="s">
        <v>314</v>
      </c>
      <c r="Q163" s="31"/>
      <c r="R163" s="31"/>
      <c r="S163" s="31"/>
      <c r="T163" s="31"/>
      <c r="U163" s="24">
        <f>155500</f>
        <v>155500</v>
      </c>
      <c r="V163" s="24"/>
      <c r="W163" s="24"/>
      <c r="X163" s="25" t="s">
        <v>71</v>
      </c>
      <c r="Y163" s="25"/>
      <c r="Z163" s="25"/>
      <c r="AA163" s="25"/>
      <c r="AB163" s="24">
        <f>155500</f>
        <v>155500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155500</f>
        <v>155500</v>
      </c>
      <c r="AU163" s="24"/>
      <c r="AV163" s="24"/>
      <c r="AW163" s="25" t="s">
        <v>71</v>
      </c>
      <c r="AX163" s="25"/>
      <c r="AY163" s="24">
        <f>8750</f>
        <v>8750</v>
      </c>
      <c r="AZ163" s="24"/>
      <c r="BA163" s="25" t="s">
        <v>71</v>
      </c>
      <c r="BB163" s="25"/>
      <c r="BC163" s="25"/>
      <c r="BD163" s="24">
        <f>8750</f>
        <v>8750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8750</f>
        <v>8750</v>
      </c>
      <c r="BO163" s="24"/>
      <c r="BP163" s="24"/>
      <c r="BQ163" s="27" t="s">
        <v>71</v>
      </c>
    </row>
    <row r="164" spans="1:69" s="1" customFormat="1" ht="24" customHeight="1">
      <c r="A164" s="16" t="s">
        <v>315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194</v>
      </c>
      <c r="N164" s="23"/>
      <c r="O164" s="23"/>
      <c r="P164" s="31" t="s">
        <v>316</v>
      </c>
      <c r="Q164" s="31"/>
      <c r="R164" s="31"/>
      <c r="S164" s="31"/>
      <c r="T164" s="31"/>
      <c r="U164" s="24">
        <f>30000</f>
        <v>30000</v>
      </c>
      <c r="V164" s="24"/>
      <c r="W164" s="24"/>
      <c r="X164" s="25" t="s">
        <v>71</v>
      </c>
      <c r="Y164" s="25"/>
      <c r="Z164" s="25"/>
      <c r="AA164" s="25"/>
      <c r="AB164" s="24">
        <f>30000</f>
        <v>30000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30000</f>
        <v>30000</v>
      </c>
      <c r="AU164" s="24"/>
      <c r="AV164" s="24"/>
      <c r="AW164" s="25" t="s">
        <v>71</v>
      </c>
      <c r="AX164" s="25"/>
      <c r="AY164" s="24">
        <f>7500</f>
        <v>7500</v>
      </c>
      <c r="AZ164" s="24"/>
      <c r="BA164" s="25" t="s">
        <v>71</v>
      </c>
      <c r="BB164" s="25"/>
      <c r="BC164" s="25"/>
      <c r="BD164" s="24">
        <f>7500</f>
        <v>7500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7500</f>
        <v>7500</v>
      </c>
      <c r="BO164" s="24"/>
      <c r="BP164" s="24"/>
      <c r="BQ164" s="27" t="s">
        <v>71</v>
      </c>
    </row>
    <row r="165" spans="1:69" s="1" customFormat="1" ht="24" customHeight="1">
      <c r="A165" s="16" t="s">
        <v>213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194</v>
      </c>
      <c r="N165" s="23"/>
      <c r="O165" s="23"/>
      <c r="P165" s="31" t="s">
        <v>317</v>
      </c>
      <c r="Q165" s="31"/>
      <c r="R165" s="31"/>
      <c r="S165" s="31"/>
      <c r="T165" s="31"/>
      <c r="U165" s="24">
        <f>30000</f>
        <v>30000</v>
      </c>
      <c r="V165" s="24"/>
      <c r="W165" s="24"/>
      <c r="X165" s="25" t="s">
        <v>71</v>
      </c>
      <c r="Y165" s="25"/>
      <c r="Z165" s="25"/>
      <c r="AA165" s="25"/>
      <c r="AB165" s="24">
        <f>30000</f>
        <v>30000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30000</f>
        <v>30000</v>
      </c>
      <c r="AU165" s="24"/>
      <c r="AV165" s="24"/>
      <c r="AW165" s="25" t="s">
        <v>71</v>
      </c>
      <c r="AX165" s="25"/>
      <c r="AY165" s="24">
        <f>7500</f>
        <v>7500</v>
      </c>
      <c r="AZ165" s="24"/>
      <c r="BA165" s="25" t="s">
        <v>71</v>
      </c>
      <c r="BB165" s="25"/>
      <c r="BC165" s="25"/>
      <c r="BD165" s="24">
        <f>7500</f>
        <v>7500</v>
      </c>
      <c r="BE165" s="24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4">
        <f>7500</f>
        <v>7500</v>
      </c>
      <c r="BO165" s="24"/>
      <c r="BP165" s="24"/>
      <c r="BQ165" s="27" t="s">
        <v>71</v>
      </c>
    </row>
    <row r="166" spans="1:69" s="1" customFormat="1" ht="24" customHeight="1">
      <c r="A166" s="16" t="s">
        <v>215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194</v>
      </c>
      <c r="N166" s="23"/>
      <c r="O166" s="23"/>
      <c r="P166" s="31" t="s">
        <v>318</v>
      </c>
      <c r="Q166" s="31"/>
      <c r="R166" s="31"/>
      <c r="S166" s="31"/>
      <c r="T166" s="31"/>
      <c r="U166" s="24">
        <f>30000</f>
        <v>30000</v>
      </c>
      <c r="V166" s="24"/>
      <c r="W166" s="24"/>
      <c r="X166" s="25" t="s">
        <v>71</v>
      </c>
      <c r="Y166" s="25"/>
      <c r="Z166" s="25"/>
      <c r="AA166" s="25"/>
      <c r="AB166" s="24">
        <f>30000</f>
        <v>30000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30000</f>
        <v>30000</v>
      </c>
      <c r="AU166" s="24"/>
      <c r="AV166" s="24"/>
      <c r="AW166" s="25" t="s">
        <v>71</v>
      </c>
      <c r="AX166" s="25"/>
      <c r="AY166" s="24">
        <f>7500</f>
        <v>7500</v>
      </c>
      <c r="AZ166" s="24"/>
      <c r="BA166" s="25" t="s">
        <v>71</v>
      </c>
      <c r="BB166" s="25"/>
      <c r="BC166" s="25"/>
      <c r="BD166" s="24">
        <f>7500</f>
        <v>7500</v>
      </c>
      <c r="BE166" s="24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4">
        <f>7500</f>
        <v>7500</v>
      </c>
      <c r="BO166" s="24"/>
      <c r="BP166" s="24"/>
      <c r="BQ166" s="27" t="s">
        <v>71</v>
      </c>
    </row>
    <row r="167" spans="1:69" s="1" customFormat="1" ht="13.5" customHeight="1">
      <c r="A167" s="16" t="s">
        <v>217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194</v>
      </c>
      <c r="N167" s="23"/>
      <c r="O167" s="23"/>
      <c r="P167" s="31" t="s">
        <v>319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71</v>
      </c>
      <c r="Y167" s="25"/>
      <c r="Z167" s="25"/>
      <c r="AA167" s="25"/>
      <c r="AB167" s="24">
        <f>30000</f>
        <v>30000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30000</f>
        <v>30000</v>
      </c>
      <c r="AU167" s="24"/>
      <c r="AV167" s="24"/>
      <c r="AW167" s="25" t="s">
        <v>71</v>
      </c>
      <c r="AX167" s="25"/>
      <c r="AY167" s="24">
        <f>7500</f>
        <v>7500</v>
      </c>
      <c r="AZ167" s="24"/>
      <c r="BA167" s="25" t="s">
        <v>71</v>
      </c>
      <c r="BB167" s="25"/>
      <c r="BC167" s="25"/>
      <c r="BD167" s="24">
        <f>7500</f>
        <v>7500</v>
      </c>
      <c r="BE167" s="24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4">
        <f>7500</f>
        <v>7500</v>
      </c>
      <c r="BO167" s="24"/>
      <c r="BP167" s="24"/>
      <c r="BQ167" s="27" t="s">
        <v>71</v>
      </c>
    </row>
    <row r="168" spans="1:69" s="1" customFormat="1" ht="13.5" customHeight="1">
      <c r="A168" s="16" t="s">
        <v>320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194</v>
      </c>
      <c r="N168" s="23"/>
      <c r="O168" s="23"/>
      <c r="P168" s="31" t="s">
        <v>321</v>
      </c>
      <c r="Q168" s="31"/>
      <c r="R168" s="31"/>
      <c r="S168" s="31"/>
      <c r="T168" s="31"/>
      <c r="U168" s="24">
        <f>125500</f>
        <v>125500</v>
      </c>
      <c r="V168" s="24"/>
      <c r="W168" s="24"/>
      <c r="X168" s="25" t="s">
        <v>71</v>
      </c>
      <c r="Y168" s="25"/>
      <c r="Z168" s="25"/>
      <c r="AA168" s="25"/>
      <c r="AB168" s="24">
        <f>125500</f>
        <v>125500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125500</f>
        <v>125500</v>
      </c>
      <c r="AU168" s="24"/>
      <c r="AV168" s="24"/>
      <c r="AW168" s="25" t="s">
        <v>71</v>
      </c>
      <c r="AX168" s="25"/>
      <c r="AY168" s="24">
        <f>1250</f>
        <v>1250</v>
      </c>
      <c r="AZ168" s="24"/>
      <c r="BA168" s="25" t="s">
        <v>71</v>
      </c>
      <c r="BB168" s="25"/>
      <c r="BC168" s="25"/>
      <c r="BD168" s="24">
        <f>1250</f>
        <v>1250</v>
      </c>
      <c r="BE168" s="24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4">
        <f>1250</f>
        <v>1250</v>
      </c>
      <c r="BO168" s="24"/>
      <c r="BP168" s="24"/>
      <c r="BQ168" s="27" t="s">
        <v>71</v>
      </c>
    </row>
    <row r="169" spans="1:69" s="1" customFormat="1" ht="24" customHeight="1">
      <c r="A169" s="16" t="s">
        <v>213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194</v>
      </c>
      <c r="N169" s="23"/>
      <c r="O169" s="23"/>
      <c r="P169" s="31" t="s">
        <v>322</v>
      </c>
      <c r="Q169" s="31"/>
      <c r="R169" s="31"/>
      <c r="S169" s="31"/>
      <c r="T169" s="31"/>
      <c r="U169" s="24">
        <f>125500</f>
        <v>125500</v>
      </c>
      <c r="V169" s="24"/>
      <c r="W169" s="24"/>
      <c r="X169" s="25" t="s">
        <v>71</v>
      </c>
      <c r="Y169" s="25"/>
      <c r="Z169" s="25"/>
      <c r="AA169" s="25"/>
      <c r="AB169" s="24">
        <f>125500</f>
        <v>125500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125500</f>
        <v>125500</v>
      </c>
      <c r="AU169" s="24"/>
      <c r="AV169" s="24"/>
      <c r="AW169" s="25" t="s">
        <v>71</v>
      </c>
      <c r="AX169" s="25"/>
      <c r="AY169" s="24">
        <f>1250</f>
        <v>1250</v>
      </c>
      <c r="AZ169" s="24"/>
      <c r="BA169" s="25" t="s">
        <v>71</v>
      </c>
      <c r="BB169" s="25"/>
      <c r="BC169" s="25"/>
      <c r="BD169" s="24">
        <f>1250</f>
        <v>1250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1250</f>
        <v>1250</v>
      </c>
      <c r="BO169" s="24"/>
      <c r="BP169" s="24"/>
      <c r="BQ169" s="27" t="s">
        <v>71</v>
      </c>
    </row>
    <row r="170" spans="1:69" s="1" customFormat="1" ht="24" customHeight="1">
      <c r="A170" s="16" t="s">
        <v>215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194</v>
      </c>
      <c r="N170" s="23"/>
      <c r="O170" s="23"/>
      <c r="P170" s="31" t="s">
        <v>323</v>
      </c>
      <c r="Q170" s="31"/>
      <c r="R170" s="31"/>
      <c r="S170" s="31"/>
      <c r="T170" s="31"/>
      <c r="U170" s="24">
        <f>125500</f>
        <v>125500</v>
      </c>
      <c r="V170" s="24"/>
      <c r="W170" s="24"/>
      <c r="X170" s="25" t="s">
        <v>71</v>
      </c>
      <c r="Y170" s="25"/>
      <c r="Z170" s="25"/>
      <c r="AA170" s="25"/>
      <c r="AB170" s="24">
        <f>125500</f>
        <v>125500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125500</f>
        <v>125500</v>
      </c>
      <c r="AU170" s="24"/>
      <c r="AV170" s="24"/>
      <c r="AW170" s="25" t="s">
        <v>71</v>
      </c>
      <c r="AX170" s="25"/>
      <c r="AY170" s="24">
        <f>1250</f>
        <v>1250</v>
      </c>
      <c r="AZ170" s="24"/>
      <c r="BA170" s="25" t="s">
        <v>71</v>
      </c>
      <c r="BB170" s="25"/>
      <c r="BC170" s="25"/>
      <c r="BD170" s="24">
        <f>1250</f>
        <v>1250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1250</f>
        <v>1250</v>
      </c>
      <c r="BO170" s="24"/>
      <c r="BP170" s="24"/>
      <c r="BQ170" s="27" t="s">
        <v>71</v>
      </c>
    </row>
    <row r="171" spans="1:69" s="1" customFormat="1" ht="13.5" customHeight="1">
      <c r="A171" s="16" t="s">
        <v>217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194</v>
      </c>
      <c r="N171" s="23"/>
      <c r="O171" s="23"/>
      <c r="P171" s="31" t="s">
        <v>324</v>
      </c>
      <c r="Q171" s="31"/>
      <c r="R171" s="31"/>
      <c r="S171" s="31"/>
      <c r="T171" s="31"/>
      <c r="U171" s="24">
        <f>125500</f>
        <v>125500</v>
      </c>
      <c r="V171" s="24"/>
      <c r="W171" s="24"/>
      <c r="X171" s="25" t="s">
        <v>71</v>
      </c>
      <c r="Y171" s="25"/>
      <c r="Z171" s="25"/>
      <c r="AA171" s="25"/>
      <c r="AB171" s="24">
        <f>125500</f>
        <v>125500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125500</f>
        <v>125500</v>
      </c>
      <c r="AU171" s="24"/>
      <c r="AV171" s="24"/>
      <c r="AW171" s="25" t="s">
        <v>71</v>
      </c>
      <c r="AX171" s="25"/>
      <c r="AY171" s="24">
        <f>1250</f>
        <v>1250</v>
      </c>
      <c r="AZ171" s="24"/>
      <c r="BA171" s="25" t="s">
        <v>71</v>
      </c>
      <c r="BB171" s="25"/>
      <c r="BC171" s="25"/>
      <c r="BD171" s="24">
        <f>1250</f>
        <v>1250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1250</f>
        <v>1250</v>
      </c>
      <c r="BO171" s="24"/>
      <c r="BP171" s="24"/>
      <c r="BQ171" s="27" t="s">
        <v>71</v>
      </c>
    </row>
    <row r="172" spans="1:69" s="1" customFormat="1" ht="13.5" customHeight="1">
      <c r="A172" s="16" t="s">
        <v>325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194</v>
      </c>
      <c r="N172" s="23"/>
      <c r="O172" s="23"/>
      <c r="P172" s="31" t="s">
        <v>326</v>
      </c>
      <c r="Q172" s="31"/>
      <c r="R172" s="31"/>
      <c r="S172" s="31"/>
      <c r="T172" s="31"/>
      <c r="U172" s="24">
        <f>110000</f>
        <v>110000</v>
      </c>
      <c r="V172" s="24"/>
      <c r="W172" s="24"/>
      <c r="X172" s="25" t="s">
        <v>71</v>
      </c>
      <c r="Y172" s="25"/>
      <c r="Z172" s="25"/>
      <c r="AA172" s="25"/>
      <c r="AB172" s="24">
        <f>110000</f>
        <v>110000</v>
      </c>
      <c r="AC172" s="24"/>
      <c r="AD172" s="24"/>
      <c r="AE172" s="28">
        <f>56233</f>
        <v>56233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166233</f>
        <v>166233</v>
      </c>
      <c r="AU172" s="24"/>
      <c r="AV172" s="24"/>
      <c r="AW172" s="25" t="s">
        <v>71</v>
      </c>
      <c r="AX172" s="25"/>
      <c r="AY172" s="25" t="s">
        <v>71</v>
      </c>
      <c r="AZ172" s="25"/>
      <c r="BA172" s="25" t="s">
        <v>71</v>
      </c>
      <c r="BB172" s="25"/>
      <c r="BC172" s="25"/>
      <c r="BD172" s="25" t="s">
        <v>71</v>
      </c>
      <c r="BE172" s="25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5" t="s">
        <v>71</v>
      </c>
      <c r="BO172" s="25"/>
      <c r="BP172" s="25"/>
      <c r="BQ172" s="27" t="s">
        <v>71</v>
      </c>
    </row>
    <row r="173" spans="1:69" s="1" customFormat="1" ht="13.5" customHeight="1">
      <c r="A173" s="16" t="s">
        <v>327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194</v>
      </c>
      <c r="N173" s="23"/>
      <c r="O173" s="23"/>
      <c r="P173" s="31" t="s">
        <v>328</v>
      </c>
      <c r="Q173" s="31"/>
      <c r="R173" s="31"/>
      <c r="S173" s="31"/>
      <c r="T173" s="31"/>
      <c r="U173" s="24">
        <f>110000</f>
        <v>110000</v>
      </c>
      <c r="V173" s="24"/>
      <c r="W173" s="24"/>
      <c r="X173" s="25" t="s">
        <v>71</v>
      </c>
      <c r="Y173" s="25"/>
      <c r="Z173" s="25"/>
      <c r="AA173" s="25"/>
      <c r="AB173" s="24">
        <f>110000</f>
        <v>110000</v>
      </c>
      <c r="AC173" s="24"/>
      <c r="AD173" s="24"/>
      <c r="AE173" s="28">
        <f>49402</f>
        <v>49402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159402</f>
        <v>159402</v>
      </c>
      <c r="AU173" s="24"/>
      <c r="AV173" s="24"/>
      <c r="AW173" s="25" t="s">
        <v>71</v>
      </c>
      <c r="AX173" s="25"/>
      <c r="AY173" s="25" t="s">
        <v>71</v>
      </c>
      <c r="AZ173" s="25"/>
      <c r="BA173" s="25" t="s">
        <v>71</v>
      </c>
      <c r="BB173" s="25"/>
      <c r="BC173" s="25"/>
      <c r="BD173" s="25" t="s">
        <v>71</v>
      </c>
      <c r="BE173" s="25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5" t="s">
        <v>71</v>
      </c>
      <c r="BO173" s="25"/>
      <c r="BP173" s="25"/>
      <c r="BQ173" s="27" t="s">
        <v>71</v>
      </c>
    </row>
    <row r="174" spans="1:69" s="1" customFormat="1" ht="24" customHeight="1">
      <c r="A174" s="16" t="s">
        <v>213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194</v>
      </c>
      <c r="N174" s="23"/>
      <c r="O174" s="23"/>
      <c r="P174" s="31" t="s">
        <v>329</v>
      </c>
      <c r="Q174" s="31"/>
      <c r="R174" s="31"/>
      <c r="S174" s="31"/>
      <c r="T174" s="31"/>
      <c r="U174" s="24">
        <f>110000</f>
        <v>110000</v>
      </c>
      <c r="V174" s="24"/>
      <c r="W174" s="24"/>
      <c r="X174" s="25" t="s">
        <v>71</v>
      </c>
      <c r="Y174" s="25"/>
      <c r="Z174" s="25"/>
      <c r="AA174" s="25"/>
      <c r="AB174" s="24">
        <f>110000</f>
        <v>110000</v>
      </c>
      <c r="AC174" s="24"/>
      <c r="AD174" s="24"/>
      <c r="AE174" s="26" t="s">
        <v>71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110000</f>
        <v>110000</v>
      </c>
      <c r="AU174" s="24"/>
      <c r="AV174" s="24"/>
      <c r="AW174" s="25" t="s">
        <v>71</v>
      </c>
      <c r="AX174" s="25"/>
      <c r="AY174" s="25" t="s">
        <v>71</v>
      </c>
      <c r="AZ174" s="25"/>
      <c r="BA174" s="25" t="s">
        <v>71</v>
      </c>
      <c r="BB174" s="25"/>
      <c r="BC174" s="25"/>
      <c r="BD174" s="25" t="s">
        <v>71</v>
      </c>
      <c r="BE174" s="25"/>
      <c r="BF174" s="26" t="s">
        <v>71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5" t="s">
        <v>71</v>
      </c>
      <c r="BO174" s="25"/>
      <c r="BP174" s="25"/>
      <c r="BQ174" s="27" t="s">
        <v>71</v>
      </c>
    </row>
    <row r="175" spans="1:69" s="1" customFormat="1" ht="24" customHeight="1">
      <c r="A175" s="16" t="s">
        <v>215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194</v>
      </c>
      <c r="N175" s="23"/>
      <c r="O175" s="23"/>
      <c r="P175" s="31" t="s">
        <v>330</v>
      </c>
      <c r="Q175" s="31"/>
      <c r="R175" s="31"/>
      <c r="S175" s="31"/>
      <c r="T175" s="31"/>
      <c r="U175" s="24">
        <f>110000</f>
        <v>110000</v>
      </c>
      <c r="V175" s="24"/>
      <c r="W175" s="24"/>
      <c r="X175" s="25" t="s">
        <v>71</v>
      </c>
      <c r="Y175" s="25"/>
      <c r="Z175" s="25"/>
      <c r="AA175" s="25"/>
      <c r="AB175" s="24">
        <f>110000</f>
        <v>110000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110000</f>
        <v>110000</v>
      </c>
      <c r="AU175" s="24"/>
      <c r="AV175" s="24"/>
      <c r="AW175" s="25" t="s">
        <v>71</v>
      </c>
      <c r="AX175" s="25"/>
      <c r="AY175" s="25" t="s">
        <v>71</v>
      </c>
      <c r="AZ175" s="25"/>
      <c r="BA175" s="25" t="s">
        <v>71</v>
      </c>
      <c r="BB175" s="25"/>
      <c r="BC175" s="25"/>
      <c r="BD175" s="25" t="s">
        <v>71</v>
      </c>
      <c r="BE175" s="25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5" t="s">
        <v>71</v>
      </c>
      <c r="BO175" s="25"/>
      <c r="BP175" s="25"/>
      <c r="BQ175" s="27" t="s">
        <v>71</v>
      </c>
    </row>
    <row r="176" spans="1:69" s="1" customFormat="1" ht="13.5" customHeight="1">
      <c r="A176" s="16" t="s">
        <v>217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194</v>
      </c>
      <c r="N176" s="23"/>
      <c r="O176" s="23"/>
      <c r="P176" s="31" t="s">
        <v>331</v>
      </c>
      <c r="Q176" s="31"/>
      <c r="R176" s="31"/>
      <c r="S176" s="31"/>
      <c r="T176" s="31"/>
      <c r="U176" s="24">
        <f>110000</f>
        <v>110000</v>
      </c>
      <c r="V176" s="24"/>
      <c r="W176" s="24"/>
      <c r="X176" s="25" t="s">
        <v>71</v>
      </c>
      <c r="Y176" s="25"/>
      <c r="Z176" s="25"/>
      <c r="AA176" s="25"/>
      <c r="AB176" s="24">
        <f>110000</f>
        <v>110000</v>
      </c>
      <c r="AC176" s="24"/>
      <c r="AD176" s="24"/>
      <c r="AE176" s="26" t="s">
        <v>71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110000</f>
        <v>110000</v>
      </c>
      <c r="AU176" s="24"/>
      <c r="AV176" s="24"/>
      <c r="AW176" s="25" t="s">
        <v>71</v>
      </c>
      <c r="AX176" s="25"/>
      <c r="AY176" s="25" t="s">
        <v>71</v>
      </c>
      <c r="AZ176" s="25"/>
      <c r="BA176" s="25" t="s">
        <v>71</v>
      </c>
      <c r="BB176" s="25"/>
      <c r="BC176" s="25"/>
      <c r="BD176" s="25" t="s">
        <v>71</v>
      </c>
      <c r="BE176" s="25"/>
      <c r="BF176" s="26" t="s">
        <v>71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5" t="s">
        <v>71</v>
      </c>
      <c r="BO176" s="25"/>
      <c r="BP176" s="25"/>
      <c r="BQ176" s="27" t="s">
        <v>71</v>
      </c>
    </row>
    <row r="177" spans="1:69" s="1" customFormat="1" ht="13.5" customHeight="1">
      <c r="A177" s="16" t="s">
        <v>221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194</v>
      </c>
      <c r="N177" s="23"/>
      <c r="O177" s="23"/>
      <c r="P177" s="31" t="s">
        <v>332</v>
      </c>
      <c r="Q177" s="31"/>
      <c r="R177" s="31"/>
      <c r="S177" s="31"/>
      <c r="T177" s="31"/>
      <c r="U177" s="24">
        <f>0</f>
        <v>0</v>
      </c>
      <c r="V177" s="24"/>
      <c r="W177" s="24"/>
      <c r="X177" s="25" t="s">
        <v>71</v>
      </c>
      <c r="Y177" s="25"/>
      <c r="Z177" s="25"/>
      <c r="AA177" s="25"/>
      <c r="AB177" s="24">
        <f>0</f>
        <v>0</v>
      </c>
      <c r="AC177" s="24"/>
      <c r="AD177" s="24"/>
      <c r="AE177" s="28">
        <f>49402</f>
        <v>49402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49402</f>
        <v>49402</v>
      </c>
      <c r="AU177" s="24"/>
      <c r="AV177" s="24"/>
      <c r="AW177" s="25" t="s">
        <v>71</v>
      </c>
      <c r="AX177" s="25"/>
      <c r="AY177" s="25" t="s">
        <v>71</v>
      </c>
      <c r="AZ177" s="25"/>
      <c r="BA177" s="25" t="s">
        <v>71</v>
      </c>
      <c r="BB177" s="25"/>
      <c r="BC177" s="25"/>
      <c r="BD177" s="25" t="s">
        <v>71</v>
      </c>
      <c r="BE177" s="25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5" t="s">
        <v>71</v>
      </c>
      <c r="BO177" s="25"/>
      <c r="BP177" s="25"/>
      <c r="BQ177" s="27" t="s">
        <v>71</v>
      </c>
    </row>
    <row r="178" spans="1:69" s="1" customFormat="1" ht="13.5" customHeight="1">
      <c r="A178" s="16" t="s">
        <v>223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194</v>
      </c>
      <c r="N178" s="23"/>
      <c r="O178" s="23"/>
      <c r="P178" s="31" t="s">
        <v>333</v>
      </c>
      <c r="Q178" s="31"/>
      <c r="R178" s="31"/>
      <c r="S178" s="31"/>
      <c r="T178" s="31"/>
      <c r="U178" s="24">
        <f>0</f>
        <v>0</v>
      </c>
      <c r="V178" s="24"/>
      <c r="W178" s="24"/>
      <c r="X178" s="25" t="s">
        <v>71</v>
      </c>
      <c r="Y178" s="25"/>
      <c r="Z178" s="25"/>
      <c r="AA178" s="25"/>
      <c r="AB178" s="24">
        <f>0</f>
        <v>0</v>
      </c>
      <c r="AC178" s="24"/>
      <c r="AD178" s="24"/>
      <c r="AE178" s="28">
        <f>49402</f>
        <v>49402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49402</f>
        <v>49402</v>
      </c>
      <c r="AU178" s="24"/>
      <c r="AV178" s="24"/>
      <c r="AW178" s="25" t="s">
        <v>71</v>
      </c>
      <c r="AX178" s="25"/>
      <c r="AY178" s="25" t="s">
        <v>71</v>
      </c>
      <c r="AZ178" s="25"/>
      <c r="BA178" s="25" t="s">
        <v>71</v>
      </c>
      <c r="BB178" s="25"/>
      <c r="BC178" s="25"/>
      <c r="BD178" s="25" t="s">
        <v>71</v>
      </c>
      <c r="BE178" s="25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5" t="s">
        <v>71</v>
      </c>
      <c r="BO178" s="25"/>
      <c r="BP178" s="25"/>
      <c r="BQ178" s="27" t="s">
        <v>71</v>
      </c>
    </row>
    <row r="179" spans="1:69" s="1" customFormat="1" ht="13.5" customHeight="1">
      <c r="A179" s="16" t="s">
        <v>334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194</v>
      </c>
      <c r="N179" s="23"/>
      <c r="O179" s="23"/>
      <c r="P179" s="31" t="s">
        <v>335</v>
      </c>
      <c r="Q179" s="31"/>
      <c r="R179" s="31"/>
      <c r="S179" s="31"/>
      <c r="T179" s="31"/>
      <c r="U179" s="24">
        <f>0</f>
        <v>0</v>
      </c>
      <c r="V179" s="24"/>
      <c r="W179" s="24"/>
      <c r="X179" s="25" t="s">
        <v>71</v>
      </c>
      <c r="Y179" s="25"/>
      <c r="Z179" s="25"/>
      <c r="AA179" s="25"/>
      <c r="AB179" s="24">
        <f>0</f>
        <v>0</v>
      </c>
      <c r="AC179" s="24"/>
      <c r="AD179" s="24"/>
      <c r="AE179" s="28">
        <f>6831</f>
        <v>6831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6831</f>
        <v>6831</v>
      </c>
      <c r="AU179" s="24"/>
      <c r="AV179" s="24"/>
      <c r="AW179" s="25" t="s">
        <v>71</v>
      </c>
      <c r="AX179" s="25"/>
      <c r="AY179" s="25" t="s">
        <v>71</v>
      </c>
      <c r="AZ179" s="25"/>
      <c r="BA179" s="25" t="s">
        <v>71</v>
      </c>
      <c r="BB179" s="25"/>
      <c r="BC179" s="25"/>
      <c r="BD179" s="25" t="s">
        <v>71</v>
      </c>
      <c r="BE179" s="25"/>
      <c r="BF179" s="26" t="s">
        <v>71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5" t="s">
        <v>71</v>
      </c>
      <c r="BO179" s="25"/>
      <c r="BP179" s="25"/>
      <c r="BQ179" s="27" t="s">
        <v>71</v>
      </c>
    </row>
    <row r="180" spans="1:69" s="1" customFormat="1" ht="13.5" customHeight="1">
      <c r="A180" s="16" t="s">
        <v>221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194</v>
      </c>
      <c r="N180" s="23"/>
      <c r="O180" s="23"/>
      <c r="P180" s="31" t="s">
        <v>336</v>
      </c>
      <c r="Q180" s="31"/>
      <c r="R180" s="31"/>
      <c r="S180" s="31"/>
      <c r="T180" s="31"/>
      <c r="U180" s="24">
        <f>0</f>
        <v>0</v>
      </c>
      <c r="V180" s="24"/>
      <c r="W180" s="24"/>
      <c r="X180" s="25" t="s">
        <v>71</v>
      </c>
      <c r="Y180" s="25"/>
      <c r="Z180" s="25"/>
      <c r="AA180" s="25"/>
      <c r="AB180" s="24">
        <f>0</f>
        <v>0</v>
      </c>
      <c r="AC180" s="24"/>
      <c r="AD180" s="24"/>
      <c r="AE180" s="28">
        <f>6831</f>
        <v>6831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6831</f>
        <v>6831</v>
      </c>
      <c r="AU180" s="24"/>
      <c r="AV180" s="24"/>
      <c r="AW180" s="25" t="s">
        <v>71</v>
      </c>
      <c r="AX180" s="25"/>
      <c r="AY180" s="25" t="s">
        <v>71</v>
      </c>
      <c r="AZ180" s="25"/>
      <c r="BA180" s="25" t="s">
        <v>71</v>
      </c>
      <c r="BB180" s="25"/>
      <c r="BC180" s="25"/>
      <c r="BD180" s="25" t="s">
        <v>71</v>
      </c>
      <c r="BE180" s="25"/>
      <c r="BF180" s="26" t="s">
        <v>71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5" t="s">
        <v>71</v>
      </c>
      <c r="BO180" s="25"/>
      <c r="BP180" s="25"/>
      <c r="BQ180" s="27" t="s">
        <v>71</v>
      </c>
    </row>
    <row r="181" spans="1:69" s="1" customFormat="1" ht="13.5" customHeight="1">
      <c r="A181" s="16" t="s">
        <v>223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194</v>
      </c>
      <c r="N181" s="23"/>
      <c r="O181" s="23"/>
      <c r="P181" s="31" t="s">
        <v>337</v>
      </c>
      <c r="Q181" s="31"/>
      <c r="R181" s="31"/>
      <c r="S181" s="31"/>
      <c r="T181" s="31"/>
      <c r="U181" s="24">
        <f>0</f>
        <v>0</v>
      </c>
      <c r="V181" s="24"/>
      <c r="W181" s="24"/>
      <c r="X181" s="25" t="s">
        <v>71</v>
      </c>
      <c r="Y181" s="25"/>
      <c r="Z181" s="25"/>
      <c r="AA181" s="25"/>
      <c r="AB181" s="24">
        <f>0</f>
        <v>0</v>
      </c>
      <c r="AC181" s="24"/>
      <c r="AD181" s="24"/>
      <c r="AE181" s="28">
        <f>6831</f>
        <v>6831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6831</f>
        <v>6831</v>
      </c>
      <c r="AU181" s="24"/>
      <c r="AV181" s="24"/>
      <c r="AW181" s="25" t="s">
        <v>71</v>
      </c>
      <c r="AX181" s="25"/>
      <c r="AY181" s="25" t="s">
        <v>71</v>
      </c>
      <c r="AZ181" s="25"/>
      <c r="BA181" s="25" t="s">
        <v>71</v>
      </c>
      <c r="BB181" s="25"/>
      <c r="BC181" s="25"/>
      <c r="BD181" s="25" t="s">
        <v>71</v>
      </c>
      <c r="BE181" s="25"/>
      <c r="BF181" s="26" t="s">
        <v>71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5" t="s">
        <v>71</v>
      </c>
      <c r="BO181" s="25"/>
      <c r="BP181" s="25"/>
      <c r="BQ181" s="27" t="s">
        <v>71</v>
      </c>
    </row>
    <row r="182" spans="1:69" s="1" customFormat="1" ht="13.5" customHeight="1">
      <c r="A182" s="16" t="s">
        <v>338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194</v>
      </c>
      <c r="N182" s="23"/>
      <c r="O182" s="23"/>
      <c r="P182" s="31" t="s">
        <v>339</v>
      </c>
      <c r="Q182" s="31"/>
      <c r="R182" s="31"/>
      <c r="S182" s="31"/>
      <c r="T182" s="31"/>
      <c r="U182" s="24">
        <f>152000</f>
        <v>152000</v>
      </c>
      <c r="V182" s="24"/>
      <c r="W182" s="24"/>
      <c r="X182" s="25" t="s">
        <v>71</v>
      </c>
      <c r="Y182" s="25"/>
      <c r="Z182" s="25"/>
      <c r="AA182" s="25"/>
      <c r="AB182" s="24">
        <f>152000</f>
        <v>152000</v>
      </c>
      <c r="AC182" s="24"/>
      <c r="AD182" s="24"/>
      <c r="AE182" s="28">
        <f>466626</f>
        <v>466626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618626</f>
        <v>618626</v>
      </c>
      <c r="AU182" s="24"/>
      <c r="AV182" s="24"/>
      <c r="AW182" s="25" t="s">
        <v>71</v>
      </c>
      <c r="AX182" s="25"/>
      <c r="AY182" s="24">
        <f>25227.72</f>
        <v>25227.72</v>
      </c>
      <c r="AZ182" s="24"/>
      <c r="BA182" s="25" t="s">
        <v>71</v>
      </c>
      <c r="BB182" s="25"/>
      <c r="BC182" s="25"/>
      <c r="BD182" s="24">
        <f>25227.72</f>
        <v>25227.72</v>
      </c>
      <c r="BE182" s="24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25227.72</f>
        <v>25227.72</v>
      </c>
      <c r="BO182" s="24"/>
      <c r="BP182" s="24"/>
      <c r="BQ182" s="27" t="s">
        <v>71</v>
      </c>
    </row>
    <row r="183" spans="1:69" s="1" customFormat="1" ht="13.5" customHeight="1">
      <c r="A183" s="16" t="s">
        <v>340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194</v>
      </c>
      <c r="N183" s="23"/>
      <c r="O183" s="23"/>
      <c r="P183" s="31" t="s">
        <v>341</v>
      </c>
      <c r="Q183" s="31"/>
      <c r="R183" s="31"/>
      <c r="S183" s="31"/>
      <c r="T183" s="31"/>
      <c r="U183" s="24">
        <f>152000</f>
        <v>152000</v>
      </c>
      <c r="V183" s="24"/>
      <c r="W183" s="24"/>
      <c r="X183" s="25" t="s">
        <v>71</v>
      </c>
      <c r="Y183" s="25"/>
      <c r="Z183" s="25"/>
      <c r="AA183" s="25"/>
      <c r="AB183" s="24">
        <f>152000</f>
        <v>152000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152000</f>
        <v>152000</v>
      </c>
      <c r="AU183" s="24"/>
      <c r="AV183" s="24"/>
      <c r="AW183" s="25" t="s">
        <v>71</v>
      </c>
      <c r="AX183" s="25"/>
      <c r="AY183" s="24">
        <f>25227.72</f>
        <v>25227.72</v>
      </c>
      <c r="AZ183" s="24"/>
      <c r="BA183" s="25" t="s">
        <v>71</v>
      </c>
      <c r="BB183" s="25"/>
      <c r="BC183" s="25"/>
      <c r="BD183" s="24">
        <f>25227.72</f>
        <v>25227.72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25227.72</f>
        <v>25227.72</v>
      </c>
      <c r="BO183" s="24"/>
      <c r="BP183" s="24"/>
      <c r="BQ183" s="27" t="s">
        <v>71</v>
      </c>
    </row>
    <row r="184" spans="1:69" s="1" customFormat="1" ht="13.5" customHeight="1">
      <c r="A184" s="16" t="s">
        <v>342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194</v>
      </c>
      <c r="N184" s="23"/>
      <c r="O184" s="23"/>
      <c r="P184" s="31" t="s">
        <v>343</v>
      </c>
      <c r="Q184" s="31"/>
      <c r="R184" s="31"/>
      <c r="S184" s="31"/>
      <c r="T184" s="31"/>
      <c r="U184" s="24">
        <f>152000</f>
        <v>152000</v>
      </c>
      <c r="V184" s="24"/>
      <c r="W184" s="24"/>
      <c r="X184" s="25" t="s">
        <v>71</v>
      </c>
      <c r="Y184" s="25"/>
      <c r="Z184" s="25"/>
      <c r="AA184" s="25"/>
      <c r="AB184" s="24">
        <f>152000</f>
        <v>152000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152000</f>
        <v>152000</v>
      </c>
      <c r="AU184" s="24"/>
      <c r="AV184" s="24"/>
      <c r="AW184" s="25" t="s">
        <v>71</v>
      </c>
      <c r="AX184" s="25"/>
      <c r="AY184" s="24">
        <f>25227.72</f>
        <v>25227.72</v>
      </c>
      <c r="AZ184" s="24"/>
      <c r="BA184" s="25" t="s">
        <v>71</v>
      </c>
      <c r="BB184" s="25"/>
      <c r="BC184" s="25"/>
      <c r="BD184" s="24">
        <f>25227.72</f>
        <v>25227.72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25227.72</f>
        <v>25227.72</v>
      </c>
      <c r="BO184" s="24"/>
      <c r="BP184" s="24"/>
      <c r="BQ184" s="27" t="s">
        <v>71</v>
      </c>
    </row>
    <row r="185" spans="1:69" s="1" customFormat="1" ht="24" customHeight="1">
      <c r="A185" s="16" t="s">
        <v>344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194</v>
      </c>
      <c r="N185" s="23"/>
      <c r="O185" s="23"/>
      <c r="P185" s="31" t="s">
        <v>345</v>
      </c>
      <c r="Q185" s="31"/>
      <c r="R185" s="31"/>
      <c r="S185" s="31"/>
      <c r="T185" s="31"/>
      <c r="U185" s="24">
        <f>152000</f>
        <v>152000</v>
      </c>
      <c r="V185" s="24"/>
      <c r="W185" s="24"/>
      <c r="X185" s="25" t="s">
        <v>71</v>
      </c>
      <c r="Y185" s="25"/>
      <c r="Z185" s="25"/>
      <c r="AA185" s="25"/>
      <c r="AB185" s="24">
        <f>152000</f>
        <v>152000</v>
      </c>
      <c r="AC185" s="24"/>
      <c r="AD185" s="24"/>
      <c r="AE185" s="26" t="s">
        <v>71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152000</f>
        <v>152000</v>
      </c>
      <c r="AU185" s="24"/>
      <c r="AV185" s="24"/>
      <c r="AW185" s="25" t="s">
        <v>71</v>
      </c>
      <c r="AX185" s="25"/>
      <c r="AY185" s="24">
        <f>25227.72</f>
        <v>25227.72</v>
      </c>
      <c r="AZ185" s="24"/>
      <c r="BA185" s="25" t="s">
        <v>71</v>
      </c>
      <c r="BB185" s="25"/>
      <c r="BC185" s="25"/>
      <c r="BD185" s="24">
        <f>25227.72</f>
        <v>25227.72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25227.72</f>
        <v>25227.72</v>
      </c>
      <c r="BO185" s="24"/>
      <c r="BP185" s="24"/>
      <c r="BQ185" s="27" t="s">
        <v>71</v>
      </c>
    </row>
    <row r="186" spans="1:69" s="1" customFormat="1" ht="13.5" customHeight="1">
      <c r="A186" s="16" t="s">
        <v>346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194</v>
      </c>
      <c r="N186" s="23"/>
      <c r="O186" s="23"/>
      <c r="P186" s="31" t="s">
        <v>347</v>
      </c>
      <c r="Q186" s="31"/>
      <c r="R186" s="31"/>
      <c r="S186" s="31"/>
      <c r="T186" s="31"/>
      <c r="U186" s="24">
        <f>152000</f>
        <v>152000</v>
      </c>
      <c r="V186" s="24"/>
      <c r="W186" s="24"/>
      <c r="X186" s="25" t="s">
        <v>71</v>
      </c>
      <c r="Y186" s="25"/>
      <c r="Z186" s="25"/>
      <c r="AA186" s="25"/>
      <c r="AB186" s="24">
        <f>152000</f>
        <v>152000</v>
      </c>
      <c r="AC186" s="24"/>
      <c r="AD186" s="24"/>
      <c r="AE186" s="26" t="s">
        <v>71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152000</f>
        <v>152000</v>
      </c>
      <c r="AU186" s="24"/>
      <c r="AV186" s="24"/>
      <c r="AW186" s="25" t="s">
        <v>71</v>
      </c>
      <c r="AX186" s="25"/>
      <c r="AY186" s="24">
        <f>25227.72</f>
        <v>25227.72</v>
      </c>
      <c r="AZ186" s="24"/>
      <c r="BA186" s="25" t="s">
        <v>71</v>
      </c>
      <c r="BB186" s="25"/>
      <c r="BC186" s="25"/>
      <c r="BD186" s="24">
        <f>25227.72</f>
        <v>25227.72</v>
      </c>
      <c r="BE186" s="24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25227.72</f>
        <v>25227.72</v>
      </c>
      <c r="BO186" s="24"/>
      <c r="BP186" s="24"/>
      <c r="BQ186" s="27" t="s">
        <v>71</v>
      </c>
    </row>
    <row r="187" spans="1:69" s="1" customFormat="1" ht="13.5" customHeight="1">
      <c r="A187" s="16" t="s">
        <v>348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194</v>
      </c>
      <c r="N187" s="23"/>
      <c r="O187" s="23"/>
      <c r="P187" s="31" t="s">
        <v>349</v>
      </c>
      <c r="Q187" s="31"/>
      <c r="R187" s="31"/>
      <c r="S187" s="31"/>
      <c r="T187" s="31"/>
      <c r="U187" s="24">
        <f>0</f>
        <v>0</v>
      </c>
      <c r="V187" s="24"/>
      <c r="W187" s="24"/>
      <c r="X187" s="25" t="s">
        <v>71</v>
      </c>
      <c r="Y187" s="25"/>
      <c r="Z187" s="25"/>
      <c r="AA187" s="25"/>
      <c r="AB187" s="24">
        <f>0</f>
        <v>0</v>
      </c>
      <c r="AC187" s="24"/>
      <c r="AD187" s="24"/>
      <c r="AE187" s="28">
        <f>466626</f>
        <v>466626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466626</f>
        <v>466626</v>
      </c>
      <c r="AU187" s="24"/>
      <c r="AV187" s="24"/>
      <c r="AW187" s="25" t="s">
        <v>71</v>
      </c>
      <c r="AX187" s="25"/>
      <c r="AY187" s="25" t="s">
        <v>71</v>
      </c>
      <c r="AZ187" s="25"/>
      <c r="BA187" s="25" t="s">
        <v>71</v>
      </c>
      <c r="BB187" s="25"/>
      <c r="BC187" s="25"/>
      <c r="BD187" s="25" t="s">
        <v>71</v>
      </c>
      <c r="BE187" s="25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5" t="s">
        <v>71</v>
      </c>
      <c r="BO187" s="25"/>
      <c r="BP187" s="25"/>
      <c r="BQ187" s="27" t="s">
        <v>71</v>
      </c>
    </row>
    <row r="188" spans="1:69" s="1" customFormat="1" ht="13.5" customHeight="1">
      <c r="A188" s="16" t="s">
        <v>221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194</v>
      </c>
      <c r="N188" s="23"/>
      <c r="O188" s="23"/>
      <c r="P188" s="31" t="s">
        <v>350</v>
      </c>
      <c r="Q188" s="31"/>
      <c r="R188" s="31"/>
      <c r="S188" s="31"/>
      <c r="T188" s="31"/>
      <c r="U188" s="24">
        <f>0</f>
        <v>0</v>
      </c>
      <c r="V188" s="24"/>
      <c r="W188" s="24"/>
      <c r="X188" s="25" t="s">
        <v>71</v>
      </c>
      <c r="Y188" s="25"/>
      <c r="Z188" s="25"/>
      <c r="AA188" s="25"/>
      <c r="AB188" s="24">
        <f>0</f>
        <v>0</v>
      </c>
      <c r="AC188" s="24"/>
      <c r="AD188" s="24"/>
      <c r="AE188" s="28">
        <f>466626</f>
        <v>466626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466626</f>
        <v>466626</v>
      </c>
      <c r="AU188" s="24"/>
      <c r="AV188" s="24"/>
      <c r="AW188" s="25" t="s">
        <v>71</v>
      </c>
      <c r="AX188" s="25"/>
      <c r="AY188" s="25" t="s">
        <v>71</v>
      </c>
      <c r="AZ188" s="25"/>
      <c r="BA188" s="25" t="s">
        <v>71</v>
      </c>
      <c r="BB188" s="25"/>
      <c r="BC188" s="25"/>
      <c r="BD188" s="25" t="s">
        <v>71</v>
      </c>
      <c r="BE188" s="25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5" t="s">
        <v>71</v>
      </c>
      <c r="BO188" s="25"/>
      <c r="BP188" s="25"/>
      <c r="BQ188" s="27" t="s">
        <v>71</v>
      </c>
    </row>
    <row r="189" spans="1:69" s="1" customFormat="1" ht="13.5" customHeight="1">
      <c r="A189" s="16" t="s">
        <v>223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194</v>
      </c>
      <c r="N189" s="23"/>
      <c r="O189" s="23"/>
      <c r="P189" s="31" t="s">
        <v>351</v>
      </c>
      <c r="Q189" s="31"/>
      <c r="R189" s="31"/>
      <c r="S189" s="31"/>
      <c r="T189" s="31"/>
      <c r="U189" s="24">
        <f>0</f>
        <v>0</v>
      </c>
      <c r="V189" s="24"/>
      <c r="W189" s="24"/>
      <c r="X189" s="25" t="s">
        <v>71</v>
      </c>
      <c r="Y189" s="25"/>
      <c r="Z189" s="25"/>
      <c r="AA189" s="25"/>
      <c r="AB189" s="24">
        <f>0</f>
        <v>0</v>
      </c>
      <c r="AC189" s="24"/>
      <c r="AD189" s="24"/>
      <c r="AE189" s="28">
        <f>466626</f>
        <v>466626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466626</f>
        <v>466626</v>
      </c>
      <c r="AU189" s="24"/>
      <c r="AV189" s="24"/>
      <c r="AW189" s="25" t="s">
        <v>71</v>
      </c>
      <c r="AX189" s="25"/>
      <c r="AY189" s="25" t="s">
        <v>71</v>
      </c>
      <c r="AZ189" s="25"/>
      <c r="BA189" s="25" t="s">
        <v>71</v>
      </c>
      <c r="BB189" s="25"/>
      <c r="BC189" s="25"/>
      <c r="BD189" s="25" t="s">
        <v>71</v>
      </c>
      <c r="BE189" s="25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5" t="s">
        <v>71</v>
      </c>
      <c r="BO189" s="25"/>
      <c r="BP189" s="25"/>
      <c r="BQ189" s="27" t="s">
        <v>71</v>
      </c>
    </row>
    <row r="190" spans="1:69" s="1" customFormat="1" ht="13.5" customHeight="1">
      <c r="A190" s="16" t="s">
        <v>352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194</v>
      </c>
      <c r="N190" s="23"/>
      <c r="O190" s="23"/>
      <c r="P190" s="31" t="s">
        <v>353</v>
      </c>
      <c r="Q190" s="31"/>
      <c r="R190" s="31"/>
      <c r="S190" s="31"/>
      <c r="T190" s="31"/>
      <c r="U190" s="24">
        <f>1384235</f>
        <v>1384235</v>
      </c>
      <c r="V190" s="24"/>
      <c r="W190" s="24"/>
      <c r="X190" s="25" t="s">
        <v>71</v>
      </c>
      <c r="Y190" s="25"/>
      <c r="Z190" s="25"/>
      <c r="AA190" s="25"/>
      <c r="AB190" s="24">
        <f>1384235</f>
        <v>1384235</v>
      </c>
      <c r="AC190" s="24"/>
      <c r="AD190" s="24"/>
      <c r="AE190" s="26" t="s">
        <v>71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1384235</f>
        <v>1384235</v>
      </c>
      <c r="AU190" s="24"/>
      <c r="AV190" s="24"/>
      <c r="AW190" s="25" t="s">
        <v>71</v>
      </c>
      <c r="AX190" s="25"/>
      <c r="AY190" s="24">
        <f>157618.79</f>
        <v>157618.79</v>
      </c>
      <c r="AZ190" s="24"/>
      <c r="BA190" s="25" t="s">
        <v>71</v>
      </c>
      <c r="BB190" s="25"/>
      <c r="BC190" s="25"/>
      <c r="BD190" s="24">
        <f>157618.79</f>
        <v>157618.79</v>
      </c>
      <c r="BE190" s="24"/>
      <c r="BF190" s="26" t="s">
        <v>71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157618.79</f>
        <v>157618.79</v>
      </c>
      <c r="BO190" s="24"/>
      <c r="BP190" s="24"/>
      <c r="BQ190" s="27" t="s">
        <v>71</v>
      </c>
    </row>
    <row r="191" spans="1:69" s="1" customFormat="1" ht="13.5" customHeight="1">
      <c r="A191" s="16" t="s">
        <v>354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194</v>
      </c>
      <c r="N191" s="23"/>
      <c r="O191" s="23"/>
      <c r="P191" s="31" t="s">
        <v>355</v>
      </c>
      <c r="Q191" s="31"/>
      <c r="R191" s="31"/>
      <c r="S191" s="31"/>
      <c r="T191" s="31"/>
      <c r="U191" s="24">
        <f>1134235</f>
        <v>1134235</v>
      </c>
      <c r="V191" s="24"/>
      <c r="W191" s="24"/>
      <c r="X191" s="25" t="s">
        <v>71</v>
      </c>
      <c r="Y191" s="25"/>
      <c r="Z191" s="25"/>
      <c r="AA191" s="25"/>
      <c r="AB191" s="24">
        <f>1134235</f>
        <v>1134235</v>
      </c>
      <c r="AC191" s="24"/>
      <c r="AD191" s="24"/>
      <c r="AE191" s="26" t="s">
        <v>71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1134235</f>
        <v>1134235</v>
      </c>
      <c r="AU191" s="24"/>
      <c r="AV191" s="24"/>
      <c r="AW191" s="25" t="s">
        <v>71</v>
      </c>
      <c r="AX191" s="25"/>
      <c r="AY191" s="24">
        <f>157618.79</f>
        <v>157618.79</v>
      </c>
      <c r="AZ191" s="24"/>
      <c r="BA191" s="25" t="s">
        <v>71</v>
      </c>
      <c r="BB191" s="25"/>
      <c r="BC191" s="25"/>
      <c r="BD191" s="24">
        <f>157618.79</f>
        <v>157618.79</v>
      </c>
      <c r="BE191" s="24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157618.79</f>
        <v>157618.79</v>
      </c>
      <c r="BO191" s="24"/>
      <c r="BP191" s="24"/>
      <c r="BQ191" s="27" t="s">
        <v>71</v>
      </c>
    </row>
    <row r="192" spans="1:69" s="1" customFormat="1" ht="54.75" customHeight="1">
      <c r="A192" s="16" t="s">
        <v>199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194</v>
      </c>
      <c r="N192" s="23"/>
      <c r="O192" s="23"/>
      <c r="P192" s="31" t="s">
        <v>356</v>
      </c>
      <c r="Q192" s="31"/>
      <c r="R192" s="31"/>
      <c r="S192" s="31"/>
      <c r="T192" s="31"/>
      <c r="U192" s="24">
        <f>675235</f>
        <v>675235</v>
      </c>
      <c r="V192" s="24"/>
      <c r="W192" s="24"/>
      <c r="X192" s="25" t="s">
        <v>71</v>
      </c>
      <c r="Y192" s="25"/>
      <c r="Z192" s="25"/>
      <c r="AA192" s="25"/>
      <c r="AB192" s="24">
        <f>675235</f>
        <v>675235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675235</f>
        <v>675235</v>
      </c>
      <c r="AU192" s="24"/>
      <c r="AV192" s="24"/>
      <c r="AW192" s="25" t="s">
        <v>71</v>
      </c>
      <c r="AX192" s="25"/>
      <c r="AY192" s="24">
        <f>114642</f>
        <v>114642</v>
      </c>
      <c r="AZ192" s="24"/>
      <c r="BA192" s="25" t="s">
        <v>71</v>
      </c>
      <c r="BB192" s="25"/>
      <c r="BC192" s="25"/>
      <c r="BD192" s="24">
        <f>114642</f>
        <v>114642</v>
      </c>
      <c r="BE192" s="24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114642</f>
        <v>114642</v>
      </c>
      <c r="BO192" s="24"/>
      <c r="BP192" s="24"/>
      <c r="BQ192" s="27" t="s">
        <v>71</v>
      </c>
    </row>
    <row r="193" spans="1:69" s="1" customFormat="1" ht="13.5" customHeight="1">
      <c r="A193" s="16" t="s">
        <v>247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194</v>
      </c>
      <c r="N193" s="23"/>
      <c r="O193" s="23"/>
      <c r="P193" s="31" t="s">
        <v>357</v>
      </c>
      <c r="Q193" s="31"/>
      <c r="R193" s="31"/>
      <c r="S193" s="31"/>
      <c r="T193" s="31"/>
      <c r="U193" s="24">
        <f>675235</f>
        <v>675235</v>
      </c>
      <c r="V193" s="24"/>
      <c r="W193" s="24"/>
      <c r="X193" s="25" t="s">
        <v>71</v>
      </c>
      <c r="Y193" s="25"/>
      <c r="Z193" s="25"/>
      <c r="AA193" s="25"/>
      <c r="AB193" s="24">
        <f>675235</f>
        <v>675235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675235</f>
        <v>675235</v>
      </c>
      <c r="AU193" s="24"/>
      <c r="AV193" s="24"/>
      <c r="AW193" s="25" t="s">
        <v>71</v>
      </c>
      <c r="AX193" s="25"/>
      <c r="AY193" s="24">
        <f>114642</f>
        <v>114642</v>
      </c>
      <c r="AZ193" s="24"/>
      <c r="BA193" s="25" t="s">
        <v>71</v>
      </c>
      <c r="BB193" s="25"/>
      <c r="BC193" s="25"/>
      <c r="BD193" s="24">
        <f>114642</f>
        <v>114642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114642</f>
        <v>114642</v>
      </c>
      <c r="BO193" s="24"/>
      <c r="BP193" s="24"/>
      <c r="BQ193" s="27" t="s">
        <v>71</v>
      </c>
    </row>
    <row r="194" spans="1:69" s="1" customFormat="1" ht="13.5" customHeight="1">
      <c r="A194" s="16" t="s">
        <v>249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194</v>
      </c>
      <c r="N194" s="23"/>
      <c r="O194" s="23"/>
      <c r="P194" s="31" t="s">
        <v>358</v>
      </c>
      <c r="Q194" s="31"/>
      <c r="R194" s="31"/>
      <c r="S194" s="31"/>
      <c r="T194" s="31"/>
      <c r="U194" s="24">
        <f>518614</f>
        <v>518614</v>
      </c>
      <c r="V194" s="24"/>
      <c r="W194" s="24"/>
      <c r="X194" s="25" t="s">
        <v>71</v>
      </c>
      <c r="Y194" s="25"/>
      <c r="Z194" s="25"/>
      <c r="AA194" s="25"/>
      <c r="AB194" s="24">
        <f>518614</f>
        <v>518614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518614</f>
        <v>518614</v>
      </c>
      <c r="AU194" s="24"/>
      <c r="AV194" s="24"/>
      <c r="AW194" s="25" t="s">
        <v>71</v>
      </c>
      <c r="AX194" s="25"/>
      <c r="AY194" s="24">
        <f>92084</f>
        <v>92084</v>
      </c>
      <c r="AZ194" s="24"/>
      <c r="BA194" s="25" t="s">
        <v>71</v>
      </c>
      <c r="BB194" s="25"/>
      <c r="BC194" s="25"/>
      <c r="BD194" s="24">
        <f>92084</f>
        <v>92084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92084</f>
        <v>92084</v>
      </c>
      <c r="BO194" s="24"/>
      <c r="BP194" s="24"/>
      <c r="BQ194" s="27" t="s">
        <v>71</v>
      </c>
    </row>
    <row r="195" spans="1:69" s="1" customFormat="1" ht="33.75" customHeight="1">
      <c r="A195" s="16" t="s">
        <v>253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194</v>
      </c>
      <c r="N195" s="23"/>
      <c r="O195" s="23"/>
      <c r="P195" s="31" t="s">
        <v>359</v>
      </c>
      <c r="Q195" s="31"/>
      <c r="R195" s="31"/>
      <c r="S195" s="31"/>
      <c r="T195" s="31"/>
      <c r="U195" s="24">
        <f>156621</f>
        <v>156621</v>
      </c>
      <c r="V195" s="24"/>
      <c r="W195" s="24"/>
      <c r="X195" s="25" t="s">
        <v>71</v>
      </c>
      <c r="Y195" s="25"/>
      <c r="Z195" s="25"/>
      <c r="AA195" s="25"/>
      <c r="AB195" s="24">
        <f>156621</f>
        <v>156621</v>
      </c>
      <c r="AC195" s="24"/>
      <c r="AD195" s="24"/>
      <c r="AE195" s="26" t="s">
        <v>71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156621</f>
        <v>156621</v>
      </c>
      <c r="AU195" s="24"/>
      <c r="AV195" s="24"/>
      <c r="AW195" s="25" t="s">
        <v>71</v>
      </c>
      <c r="AX195" s="25"/>
      <c r="AY195" s="24">
        <f>22558</f>
        <v>22558</v>
      </c>
      <c r="AZ195" s="24"/>
      <c r="BA195" s="25" t="s">
        <v>71</v>
      </c>
      <c r="BB195" s="25"/>
      <c r="BC195" s="25"/>
      <c r="BD195" s="24">
        <f>22558</f>
        <v>22558</v>
      </c>
      <c r="BE195" s="24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22558</f>
        <v>22558</v>
      </c>
      <c r="BO195" s="24"/>
      <c r="BP195" s="24"/>
      <c r="BQ195" s="27" t="s">
        <v>71</v>
      </c>
    </row>
    <row r="196" spans="1:69" s="1" customFormat="1" ht="24" customHeight="1">
      <c r="A196" s="16" t="s">
        <v>213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194</v>
      </c>
      <c r="N196" s="23"/>
      <c r="O196" s="23"/>
      <c r="P196" s="31" t="s">
        <v>360</v>
      </c>
      <c r="Q196" s="31"/>
      <c r="R196" s="31"/>
      <c r="S196" s="31"/>
      <c r="T196" s="31"/>
      <c r="U196" s="24">
        <f>263000</f>
        <v>263000</v>
      </c>
      <c r="V196" s="24"/>
      <c r="W196" s="24"/>
      <c r="X196" s="25" t="s">
        <v>71</v>
      </c>
      <c r="Y196" s="25"/>
      <c r="Z196" s="25"/>
      <c r="AA196" s="25"/>
      <c r="AB196" s="24">
        <f>263000</f>
        <v>263000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263000</f>
        <v>263000</v>
      </c>
      <c r="AU196" s="24"/>
      <c r="AV196" s="24"/>
      <c r="AW196" s="25" t="s">
        <v>71</v>
      </c>
      <c r="AX196" s="25"/>
      <c r="AY196" s="24">
        <f>42976.79</f>
        <v>42976.79</v>
      </c>
      <c r="AZ196" s="24"/>
      <c r="BA196" s="25" t="s">
        <v>71</v>
      </c>
      <c r="BB196" s="25"/>
      <c r="BC196" s="25"/>
      <c r="BD196" s="24">
        <f>42976.79</f>
        <v>42976.79</v>
      </c>
      <c r="BE196" s="24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42976.79</f>
        <v>42976.79</v>
      </c>
      <c r="BO196" s="24"/>
      <c r="BP196" s="24"/>
      <c r="BQ196" s="27" t="s">
        <v>71</v>
      </c>
    </row>
    <row r="197" spans="1:69" s="1" customFormat="1" ht="24" customHeight="1">
      <c r="A197" s="16" t="s">
        <v>215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194</v>
      </c>
      <c r="N197" s="23"/>
      <c r="O197" s="23"/>
      <c r="P197" s="31" t="s">
        <v>361</v>
      </c>
      <c r="Q197" s="31"/>
      <c r="R197" s="31"/>
      <c r="S197" s="31"/>
      <c r="T197" s="31"/>
      <c r="U197" s="24">
        <f>263000</f>
        <v>263000</v>
      </c>
      <c r="V197" s="24"/>
      <c r="W197" s="24"/>
      <c r="X197" s="25" t="s">
        <v>71</v>
      </c>
      <c r="Y197" s="25"/>
      <c r="Z197" s="25"/>
      <c r="AA197" s="25"/>
      <c r="AB197" s="24">
        <f>263000</f>
        <v>263000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263000</f>
        <v>263000</v>
      </c>
      <c r="AU197" s="24"/>
      <c r="AV197" s="24"/>
      <c r="AW197" s="25" t="s">
        <v>71</v>
      </c>
      <c r="AX197" s="25"/>
      <c r="AY197" s="24">
        <f>42976.79</f>
        <v>42976.79</v>
      </c>
      <c r="AZ197" s="24"/>
      <c r="BA197" s="25" t="s">
        <v>71</v>
      </c>
      <c r="BB197" s="25"/>
      <c r="BC197" s="25"/>
      <c r="BD197" s="24">
        <f>42976.79</f>
        <v>42976.79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42976.79</f>
        <v>42976.79</v>
      </c>
      <c r="BO197" s="24"/>
      <c r="BP197" s="24"/>
      <c r="BQ197" s="27" t="s">
        <v>71</v>
      </c>
    </row>
    <row r="198" spans="1:69" s="1" customFormat="1" ht="13.5" customHeight="1">
      <c r="A198" s="16" t="s">
        <v>217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194</v>
      </c>
      <c r="N198" s="23"/>
      <c r="O198" s="23"/>
      <c r="P198" s="31" t="s">
        <v>362</v>
      </c>
      <c r="Q198" s="31"/>
      <c r="R198" s="31"/>
      <c r="S198" s="31"/>
      <c r="T198" s="31"/>
      <c r="U198" s="24">
        <f>263000</f>
        <v>263000</v>
      </c>
      <c r="V198" s="24"/>
      <c r="W198" s="24"/>
      <c r="X198" s="25" t="s">
        <v>71</v>
      </c>
      <c r="Y198" s="25"/>
      <c r="Z198" s="25"/>
      <c r="AA198" s="25"/>
      <c r="AB198" s="24">
        <f>263000</f>
        <v>263000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263000</f>
        <v>263000</v>
      </c>
      <c r="AU198" s="24"/>
      <c r="AV198" s="24"/>
      <c r="AW198" s="25" t="s">
        <v>71</v>
      </c>
      <c r="AX198" s="25"/>
      <c r="AY198" s="24">
        <f>42976.79</f>
        <v>42976.79</v>
      </c>
      <c r="AZ198" s="24"/>
      <c r="BA198" s="25" t="s">
        <v>71</v>
      </c>
      <c r="BB198" s="25"/>
      <c r="BC198" s="25"/>
      <c r="BD198" s="24">
        <f>42976.79</f>
        <v>42976.79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42976.79</f>
        <v>42976.79</v>
      </c>
      <c r="BO198" s="24"/>
      <c r="BP198" s="24"/>
      <c r="BQ198" s="27" t="s">
        <v>71</v>
      </c>
    </row>
    <row r="199" spans="1:69" s="1" customFormat="1" ht="13.5" customHeight="1">
      <c r="A199" s="16" t="s">
        <v>225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194</v>
      </c>
      <c r="N199" s="23"/>
      <c r="O199" s="23"/>
      <c r="P199" s="31" t="s">
        <v>363</v>
      </c>
      <c r="Q199" s="31"/>
      <c r="R199" s="31"/>
      <c r="S199" s="31"/>
      <c r="T199" s="31"/>
      <c r="U199" s="24">
        <f>196000</f>
        <v>196000</v>
      </c>
      <c r="V199" s="24"/>
      <c r="W199" s="24"/>
      <c r="X199" s="25" t="s">
        <v>71</v>
      </c>
      <c r="Y199" s="25"/>
      <c r="Z199" s="25"/>
      <c r="AA199" s="25"/>
      <c r="AB199" s="24">
        <f>196000</f>
        <v>196000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196000</f>
        <v>196000</v>
      </c>
      <c r="AU199" s="24"/>
      <c r="AV199" s="24"/>
      <c r="AW199" s="25" t="s">
        <v>71</v>
      </c>
      <c r="AX199" s="25"/>
      <c r="AY199" s="25" t="s">
        <v>71</v>
      </c>
      <c r="AZ199" s="25"/>
      <c r="BA199" s="25" t="s">
        <v>71</v>
      </c>
      <c r="BB199" s="25"/>
      <c r="BC199" s="25"/>
      <c r="BD199" s="25" t="s">
        <v>71</v>
      </c>
      <c r="BE199" s="25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5" t="s">
        <v>71</v>
      </c>
      <c r="BO199" s="25"/>
      <c r="BP199" s="25"/>
      <c r="BQ199" s="27" t="s">
        <v>71</v>
      </c>
    </row>
    <row r="200" spans="1:69" s="1" customFormat="1" ht="13.5" customHeight="1">
      <c r="A200" s="16" t="s">
        <v>227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194</v>
      </c>
      <c r="N200" s="23"/>
      <c r="O200" s="23"/>
      <c r="P200" s="31" t="s">
        <v>364</v>
      </c>
      <c r="Q200" s="31"/>
      <c r="R200" s="31"/>
      <c r="S200" s="31"/>
      <c r="T200" s="31"/>
      <c r="U200" s="24">
        <f>196000</f>
        <v>196000</v>
      </c>
      <c r="V200" s="24"/>
      <c r="W200" s="24"/>
      <c r="X200" s="25" t="s">
        <v>71</v>
      </c>
      <c r="Y200" s="25"/>
      <c r="Z200" s="25"/>
      <c r="AA200" s="25"/>
      <c r="AB200" s="24">
        <f>196000</f>
        <v>196000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196000</f>
        <v>196000</v>
      </c>
      <c r="AU200" s="24"/>
      <c r="AV200" s="24"/>
      <c r="AW200" s="25" t="s">
        <v>71</v>
      </c>
      <c r="AX200" s="25"/>
      <c r="AY200" s="25" t="s">
        <v>71</v>
      </c>
      <c r="AZ200" s="25"/>
      <c r="BA200" s="25" t="s">
        <v>71</v>
      </c>
      <c r="BB200" s="25"/>
      <c r="BC200" s="25"/>
      <c r="BD200" s="25" t="s">
        <v>71</v>
      </c>
      <c r="BE200" s="25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5" t="s">
        <v>71</v>
      </c>
      <c r="BO200" s="25"/>
      <c r="BP200" s="25"/>
      <c r="BQ200" s="27" t="s">
        <v>71</v>
      </c>
    </row>
    <row r="201" spans="1:69" s="1" customFormat="1" ht="24" customHeight="1">
      <c r="A201" s="16" t="s">
        <v>229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194</v>
      </c>
      <c r="N201" s="23"/>
      <c r="O201" s="23"/>
      <c r="P201" s="31" t="s">
        <v>365</v>
      </c>
      <c r="Q201" s="31"/>
      <c r="R201" s="31"/>
      <c r="S201" s="31"/>
      <c r="T201" s="31"/>
      <c r="U201" s="24">
        <f>195000</f>
        <v>195000</v>
      </c>
      <c r="V201" s="24"/>
      <c r="W201" s="24"/>
      <c r="X201" s="25" t="s">
        <v>71</v>
      </c>
      <c r="Y201" s="25"/>
      <c r="Z201" s="25"/>
      <c r="AA201" s="25"/>
      <c r="AB201" s="24">
        <f>195000</f>
        <v>195000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195000</f>
        <v>195000</v>
      </c>
      <c r="AU201" s="24"/>
      <c r="AV201" s="24"/>
      <c r="AW201" s="25" t="s">
        <v>71</v>
      </c>
      <c r="AX201" s="25"/>
      <c r="AY201" s="25" t="s">
        <v>71</v>
      </c>
      <c r="AZ201" s="25"/>
      <c r="BA201" s="25" t="s">
        <v>71</v>
      </c>
      <c r="BB201" s="25"/>
      <c r="BC201" s="25"/>
      <c r="BD201" s="25" t="s">
        <v>71</v>
      </c>
      <c r="BE201" s="25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5" t="s">
        <v>71</v>
      </c>
      <c r="BO201" s="25"/>
      <c r="BP201" s="25"/>
      <c r="BQ201" s="27" t="s">
        <v>71</v>
      </c>
    </row>
    <row r="202" spans="1:69" s="1" customFormat="1" ht="13.5" customHeight="1">
      <c r="A202" s="16" t="s">
        <v>231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194</v>
      </c>
      <c r="N202" s="23"/>
      <c r="O202" s="23"/>
      <c r="P202" s="31" t="s">
        <v>366</v>
      </c>
      <c r="Q202" s="31"/>
      <c r="R202" s="31"/>
      <c r="S202" s="31"/>
      <c r="T202" s="31"/>
      <c r="U202" s="24">
        <f>1000</f>
        <v>1000</v>
      </c>
      <c r="V202" s="24"/>
      <c r="W202" s="24"/>
      <c r="X202" s="25" t="s">
        <v>71</v>
      </c>
      <c r="Y202" s="25"/>
      <c r="Z202" s="25"/>
      <c r="AA202" s="25"/>
      <c r="AB202" s="24">
        <f>1000</f>
        <v>1000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1000</f>
        <v>1000</v>
      </c>
      <c r="AU202" s="24"/>
      <c r="AV202" s="24"/>
      <c r="AW202" s="25" t="s">
        <v>71</v>
      </c>
      <c r="AX202" s="25"/>
      <c r="AY202" s="25" t="s">
        <v>71</v>
      </c>
      <c r="AZ202" s="25"/>
      <c r="BA202" s="25" t="s">
        <v>71</v>
      </c>
      <c r="BB202" s="25"/>
      <c r="BC202" s="25"/>
      <c r="BD202" s="25" t="s">
        <v>71</v>
      </c>
      <c r="BE202" s="25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5" t="s">
        <v>71</v>
      </c>
      <c r="BO202" s="25"/>
      <c r="BP202" s="25"/>
      <c r="BQ202" s="27" t="s">
        <v>71</v>
      </c>
    </row>
    <row r="203" spans="1:69" s="1" customFormat="1" ht="13.5" customHeight="1">
      <c r="A203" s="16" t="s">
        <v>367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194</v>
      </c>
      <c r="N203" s="23"/>
      <c r="O203" s="23"/>
      <c r="P203" s="31" t="s">
        <v>368</v>
      </c>
      <c r="Q203" s="31"/>
      <c r="R203" s="31"/>
      <c r="S203" s="31"/>
      <c r="T203" s="31"/>
      <c r="U203" s="24">
        <f>250000</f>
        <v>250000</v>
      </c>
      <c r="V203" s="24"/>
      <c r="W203" s="24"/>
      <c r="X203" s="25" t="s">
        <v>71</v>
      </c>
      <c r="Y203" s="25"/>
      <c r="Z203" s="25"/>
      <c r="AA203" s="25"/>
      <c r="AB203" s="24">
        <f>250000</f>
        <v>250000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250000</f>
        <v>250000</v>
      </c>
      <c r="AU203" s="24"/>
      <c r="AV203" s="24"/>
      <c r="AW203" s="25" t="s">
        <v>71</v>
      </c>
      <c r="AX203" s="25"/>
      <c r="AY203" s="25" t="s">
        <v>71</v>
      </c>
      <c r="AZ203" s="25"/>
      <c r="BA203" s="25" t="s">
        <v>71</v>
      </c>
      <c r="BB203" s="25"/>
      <c r="BC203" s="25"/>
      <c r="BD203" s="25" t="s">
        <v>71</v>
      </c>
      <c r="BE203" s="25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5" t="s">
        <v>71</v>
      </c>
      <c r="BO203" s="25"/>
      <c r="BP203" s="25"/>
      <c r="BQ203" s="27" t="s">
        <v>71</v>
      </c>
    </row>
    <row r="204" spans="1:69" s="1" customFormat="1" ht="24" customHeight="1">
      <c r="A204" s="16" t="s">
        <v>213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194</v>
      </c>
      <c r="N204" s="23"/>
      <c r="O204" s="23"/>
      <c r="P204" s="31" t="s">
        <v>369</v>
      </c>
      <c r="Q204" s="31"/>
      <c r="R204" s="31"/>
      <c r="S204" s="31"/>
      <c r="T204" s="31"/>
      <c r="U204" s="24">
        <f>250000</f>
        <v>250000</v>
      </c>
      <c r="V204" s="24"/>
      <c r="W204" s="24"/>
      <c r="X204" s="25" t="s">
        <v>71</v>
      </c>
      <c r="Y204" s="25"/>
      <c r="Z204" s="25"/>
      <c r="AA204" s="25"/>
      <c r="AB204" s="24">
        <f>250000</f>
        <v>250000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250000</f>
        <v>250000</v>
      </c>
      <c r="AU204" s="24"/>
      <c r="AV204" s="24"/>
      <c r="AW204" s="25" t="s">
        <v>71</v>
      </c>
      <c r="AX204" s="25"/>
      <c r="AY204" s="25" t="s">
        <v>71</v>
      </c>
      <c r="AZ204" s="25"/>
      <c r="BA204" s="25" t="s">
        <v>71</v>
      </c>
      <c r="BB204" s="25"/>
      <c r="BC204" s="25"/>
      <c r="BD204" s="25" t="s">
        <v>71</v>
      </c>
      <c r="BE204" s="25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5" t="s">
        <v>71</v>
      </c>
      <c r="BO204" s="25"/>
      <c r="BP204" s="25"/>
      <c r="BQ204" s="27" t="s">
        <v>71</v>
      </c>
    </row>
    <row r="205" spans="1:69" s="1" customFormat="1" ht="24" customHeight="1">
      <c r="A205" s="16" t="s">
        <v>215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194</v>
      </c>
      <c r="N205" s="23"/>
      <c r="O205" s="23"/>
      <c r="P205" s="31" t="s">
        <v>370</v>
      </c>
      <c r="Q205" s="31"/>
      <c r="R205" s="31"/>
      <c r="S205" s="31"/>
      <c r="T205" s="31"/>
      <c r="U205" s="24">
        <f>250000</f>
        <v>250000</v>
      </c>
      <c r="V205" s="24"/>
      <c r="W205" s="24"/>
      <c r="X205" s="25" t="s">
        <v>71</v>
      </c>
      <c r="Y205" s="25"/>
      <c r="Z205" s="25"/>
      <c r="AA205" s="25"/>
      <c r="AB205" s="24">
        <f>250000</f>
        <v>250000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250000</f>
        <v>250000</v>
      </c>
      <c r="AU205" s="24"/>
      <c r="AV205" s="24"/>
      <c r="AW205" s="25" t="s">
        <v>71</v>
      </c>
      <c r="AX205" s="25"/>
      <c r="AY205" s="25" t="s">
        <v>71</v>
      </c>
      <c r="AZ205" s="25"/>
      <c r="BA205" s="25" t="s">
        <v>71</v>
      </c>
      <c r="BB205" s="25"/>
      <c r="BC205" s="25"/>
      <c r="BD205" s="25" t="s">
        <v>71</v>
      </c>
      <c r="BE205" s="25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5" t="s">
        <v>71</v>
      </c>
      <c r="BO205" s="25"/>
      <c r="BP205" s="25"/>
      <c r="BQ205" s="27" t="s">
        <v>71</v>
      </c>
    </row>
    <row r="206" spans="1:69" s="1" customFormat="1" ht="13.5" customHeight="1">
      <c r="A206" s="16" t="s">
        <v>217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194</v>
      </c>
      <c r="N206" s="23"/>
      <c r="O206" s="23"/>
      <c r="P206" s="31" t="s">
        <v>371</v>
      </c>
      <c r="Q206" s="31"/>
      <c r="R206" s="31"/>
      <c r="S206" s="31"/>
      <c r="T206" s="31"/>
      <c r="U206" s="24">
        <f>250000</f>
        <v>250000</v>
      </c>
      <c r="V206" s="24"/>
      <c r="W206" s="24"/>
      <c r="X206" s="25" t="s">
        <v>71</v>
      </c>
      <c r="Y206" s="25"/>
      <c r="Z206" s="25"/>
      <c r="AA206" s="25"/>
      <c r="AB206" s="24">
        <f>250000</f>
        <v>250000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250000</f>
        <v>250000</v>
      </c>
      <c r="AU206" s="24"/>
      <c r="AV206" s="24"/>
      <c r="AW206" s="25" t="s">
        <v>71</v>
      </c>
      <c r="AX206" s="25"/>
      <c r="AY206" s="25" t="s">
        <v>71</v>
      </c>
      <c r="AZ206" s="25"/>
      <c r="BA206" s="25" t="s">
        <v>71</v>
      </c>
      <c r="BB206" s="25"/>
      <c r="BC206" s="25"/>
      <c r="BD206" s="25" t="s">
        <v>71</v>
      </c>
      <c r="BE206" s="25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5" t="s">
        <v>71</v>
      </c>
      <c r="BO206" s="25"/>
      <c r="BP206" s="25"/>
      <c r="BQ206" s="27" t="s">
        <v>71</v>
      </c>
    </row>
    <row r="207" spans="1:69" s="1" customFormat="1" ht="27" customHeight="1">
      <c r="A207" s="32" t="s">
        <v>372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3" t="s">
        <v>373</v>
      </c>
      <c r="N207" s="33"/>
      <c r="O207" s="33"/>
      <c r="P207" s="33" t="s">
        <v>70</v>
      </c>
      <c r="Q207" s="33"/>
      <c r="R207" s="33"/>
      <c r="S207" s="33"/>
      <c r="T207" s="33"/>
      <c r="U207" s="34">
        <f>-26046249.46</f>
        <v>-26046249.46</v>
      </c>
      <c r="V207" s="34"/>
      <c r="W207" s="34"/>
      <c r="X207" s="35" t="s">
        <v>71</v>
      </c>
      <c r="Y207" s="35"/>
      <c r="Z207" s="35"/>
      <c r="AA207" s="35"/>
      <c r="AB207" s="34">
        <f>-26046249.46</f>
        <v>-26046249.46</v>
      </c>
      <c r="AC207" s="34"/>
      <c r="AD207" s="34"/>
      <c r="AE207" s="36">
        <f>21518691</f>
        <v>21518691</v>
      </c>
      <c r="AF207" s="37" t="s">
        <v>71</v>
      </c>
      <c r="AG207" s="35" t="s">
        <v>71</v>
      </c>
      <c r="AH207" s="35"/>
      <c r="AI207" s="35"/>
      <c r="AJ207" s="35" t="s">
        <v>71</v>
      </c>
      <c r="AK207" s="35"/>
      <c r="AL207" s="35" t="s">
        <v>71</v>
      </c>
      <c r="AM207" s="35"/>
      <c r="AN207" s="35" t="s">
        <v>71</v>
      </c>
      <c r="AO207" s="35"/>
      <c r="AP207" s="35" t="s">
        <v>71</v>
      </c>
      <c r="AQ207" s="35"/>
      <c r="AR207" s="35"/>
      <c r="AS207" s="37" t="s">
        <v>71</v>
      </c>
      <c r="AT207" s="34">
        <f>-4527558.46</f>
        <v>-4527558.46</v>
      </c>
      <c r="AU207" s="34"/>
      <c r="AV207" s="34"/>
      <c r="AW207" s="35" t="s">
        <v>71</v>
      </c>
      <c r="AX207" s="35"/>
      <c r="AY207" s="34">
        <f>1297223.74</f>
        <v>1297223.74</v>
      </c>
      <c r="AZ207" s="34"/>
      <c r="BA207" s="35" t="s">
        <v>71</v>
      </c>
      <c r="BB207" s="35"/>
      <c r="BC207" s="35"/>
      <c r="BD207" s="34">
        <f>1297223.74</f>
        <v>1297223.74</v>
      </c>
      <c r="BE207" s="34"/>
      <c r="BF207" s="36">
        <f>3365734</f>
        <v>3365734</v>
      </c>
      <c r="BG207" s="37" t="s">
        <v>71</v>
      </c>
      <c r="BH207" s="37" t="s">
        <v>71</v>
      </c>
      <c r="BI207" s="37" t="s">
        <v>71</v>
      </c>
      <c r="BJ207" s="37" t="s">
        <v>71</v>
      </c>
      <c r="BK207" s="37" t="s">
        <v>71</v>
      </c>
      <c r="BL207" s="37" t="s">
        <v>71</v>
      </c>
      <c r="BM207" s="37" t="s">
        <v>71</v>
      </c>
      <c r="BN207" s="34">
        <f>4662957.74</f>
        <v>4662957.74</v>
      </c>
      <c r="BO207" s="34"/>
      <c r="BP207" s="34"/>
      <c r="BQ207" s="38" t="s">
        <v>71</v>
      </c>
    </row>
    <row r="208" spans="1:69" s="1" customFormat="1" ht="13.5" customHeight="1">
      <c r="A208" s="29" t="s">
        <v>9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</row>
    <row r="209" spans="1:69" s="1" customFormat="1" ht="15.75" customHeight="1">
      <c r="A209" s="12" t="s">
        <v>374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</row>
    <row r="210" spans="1:69" s="1" customFormat="1" ht="28.5" customHeight="1">
      <c r="A210" s="3" t="s">
        <v>21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 t="s">
        <v>22</v>
      </c>
      <c r="N210" s="3"/>
      <c r="O210" s="3"/>
      <c r="P210" s="3" t="s">
        <v>23</v>
      </c>
      <c r="Q210" s="3"/>
      <c r="R210" s="3"/>
      <c r="S210" s="3"/>
      <c r="T210" s="3"/>
      <c r="U210" s="3" t="s">
        <v>24</v>
      </c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 t="s">
        <v>38</v>
      </c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s="1" customFormat="1" ht="126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3" t="s">
        <v>25</v>
      </c>
      <c r="V211" s="13"/>
      <c r="W211" s="13"/>
      <c r="X211" s="13" t="s">
        <v>26</v>
      </c>
      <c r="Y211" s="13"/>
      <c r="Z211" s="13"/>
      <c r="AA211" s="13"/>
      <c r="AB211" s="13" t="s">
        <v>27</v>
      </c>
      <c r="AC211" s="13"/>
      <c r="AD211" s="13"/>
      <c r="AE211" s="14" t="s">
        <v>28</v>
      </c>
      <c r="AF211" s="14" t="s">
        <v>29</v>
      </c>
      <c r="AG211" s="13" t="s">
        <v>30</v>
      </c>
      <c r="AH211" s="13"/>
      <c r="AI211" s="13"/>
      <c r="AJ211" s="13" t="s">
        <v>31</v>
      </c>
      <c r="AK211" s="13"/>
      <c r="AL211" s="13" t="s">
        <v>32</v>
      </c>
      <c r="AM211" s="13"/>
      <c r="AN211" s="13" t="s">
        <v>33</v>
      </c>
      <c r="AO211" s="13"/>
      <c r="AP211" s="13" t="s">
        <v>34</v>
      </c>
      <c r="AQ211" s="13"/>
      <c r="AR211" s="13"/>
      <c r="AS211" s="14" t="s">
        <v>35</v>
      </c>
      <c r="AT211" s="13" t="s">
        <v>36</v>
      </c>
      <c r="AU211" s="13"/>
      <c r="AV211" s="13"/>
      <c r="AW211" s="13" t="s">
        <v>37</v>
      </c>
      <c r="AX211" s="13"/>
      <c r="AY211" s="13" t="s">
        <v>25</v>
      </c>
      <c r="AZ211" s="13"/>
      <c r="BA211" s="13" t="s">
        <v>26</v>
      </c>
      <c r="BB211" s="13"/>
      <c r="BC211" s="13"/>
      <c r="BD211" s="13" t="s">
        <v>27</v>
      </c>
      <c r="BE211" s="13"/>
      <c r="BF211" s="14" t="s">
        <v>28</v>
      </c>
      <c r="BG211" s="14" t="s">
        <v>29</v>
      </c>
      <c r="BH211" s="14" t="s">
        <v>30</v>
      </c>
      <c r="BI211" s="14" t="s">
        <v>31</v>
      </c>
      <c r="BJ211" s="14" t="s">
        <v>32</v>
      </c>
      <c r="BK211" s="14" t="s">
        <v>33</v>
      </c>
      <c r="BL211" s="14" t="s">
        <v>34</v>
      </c>
      <c r="BM211" s="14" t="s">
        <v>35</v>
      </c>
      <c r="BN211" s="13" t="s">
        <v>36</v>
      </c>
      <c r="BO211" s="13"/>
      <c r="BP211" s="13"/>
      <c r="BQ211" s="14" t="s">
        <v>37</v>
      </c>
    </row>
    <row r="212" spans="1:69" s="1" customFormat="1" ht="13.5" customHeight="1">
      <c r="A212" s="3" t="s">
        <v>39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 t="s">
        <v>40</v>
      </c>
      <c r="N212" s="3"/>
      <c r="O212" s="3"/>
      <c r="P212" s="3" t="s">
        <v>41</v>
      </c>
      <c r="Q212" s="3"/>
      <c r="R212" s="3"/>
      <c r="S212" s="3"/>
      <c r="T212" s="3"/>
      <c r="U212" s="3" t="s">
        <v>42</v>
      </c>
      <c r="V212" s="3"/>
      <c r="W212" s="3"/>
      <c r="X212" s="3" t="s">
        <v>43</v>
      </c>
      <c r="Y212" s="3"/>
      <c r="Z212" s="3"/>
      <c r="AA212" s="3"/>
      <c r="AB212" s="3" t="s">
        <v>44</v>
      </c>
      <c r="AC212" s="3"/>
      <c r="AD212" s="3"/>
      <c r="AE212" s="15" t="s">
        <v>45</v>
      </c>
      <c r="AF212" s="15" t="s">
        <v>46</v>
      </c>
      <c r="AG212" s="3" t="s">
        <v>47</v>
      </c>
      <c r="AH212" s="3"/>
      <c r="AI212" s="3"/>
      <c r="AJ212" s="3" t="s">
        <v>48</v>
      </c>
      <c r="AK212" s="3"/>
      <c r="AL212" s="3" t="s">
        <v>49</v>
      </c>
      <c r="AM212" s="3"/>
      <c r="AN212" s="3" t="s">
        <v>50</v>
      </c>
      <c r="AO212" s="3"/>
      <c r="AP212" s="3" t="s">
        <v>51</v>
      </c>
      <c r="AQ212" s="3"/>
      <c r="AR212" s="3"/>
      <c r="AS212" s="15" t="s">
        <v>52</v>
      </c>
      <c r="AT212" s="3" t="s">
        <v>53</v>
      </c>
      <c r="AU212" s="3"/>
      <c r="AV212" s="3"/>
      <c r="AW212" s="3" t="s">
        <v>54</v>
      </c>
      <c r="AX212" s="3"/>
      <c r="AY212" s="3" t="s">
        <v>55</v>
      </c>
      <c r="AZ212" s="3"/>
      <c r="BA212" s="3" t="s">
        <v>56</v>
      </c>
      <c r="BB212" s="3"/>
      <c r="BC212" s="3"/>
      <c r="BD212" s="3" t="s">
        <v>57</v>
      </c>
      <c r="BE212" s="3"/>
      <c r="BF212" s="15" t="s">
        <v>58</v>
      </c>
      <c r="BG212" s="15" t="s">
        <v>59</v>
      </c>
      <c r="BH212" s="15" t="s">
        <v>60</v>
      </c>
      <c r="BI212" s="15" t="s">
        <v>61</v>
      </c>
      <c r="BJ212" s="15" t="s">
        <v>62</v>
      </c>
      <c r="BK212" s="15" t="s">
        <v>63</v>
      </c>
      <c r="BL212" s="15" t="s">
        <v>64</v>
      </c>
      <c r="BM212" s="15" t="s">
        <v>65</v>
      </c>
      <c r="BN212" s="3" t="s">
        <v>66</v>
      </c>
      <c r="BO212" s="3"/>
      <c r="BP212" s="3"/>
      <c r="BQ212" s="15" t="s">
        <v>67</v>
      </c>
    </row>
    <row r="213" spans="1:69" s="1" customFormat="1" ht="27" customHeight="1">
      <c r="A213" s="16" t="s">
        <v>375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7" t="s">
        <v>376</v>
      </c>
      <c r="N213" s="17"/>
      <c r="O213" s="17"/>
      <c r="P213" s="17" t="s">
        <v>70</v>
      </c>
      <c r="Q213" s="17"/>
      <c r="R213" s="17"/>
      <c r="S213" s="17"/>
      <c r="T213" s="17"/>
      <c r="U213" s="18">
        <f>26046249.46</f>
        <v>26046249.46</v>
      </c>
      <c r="V213" s="18"/>
      <c r="W213" s="18"/>
      <c r="X213" s="19" t="s">
        <v>71</v>
      </c>
      <c r="Y213" s="19"/>
      <c r="Z213" s="19"/>
      <c r="AA213" s="19"/>
      <c r="AB213" s="18">
        <f>26046249.46</f>
        <v>26046249.46</v>
      </c>
      <c r="AC213" s="18"/>
      <c r="AD213" s="18"/>
      <c r="AE213" s="20">
        <f>-21518691</f>
        <v>-21518691</v>
      </c>
      <c r="AF213" s="21" t="s">
        <v>71</v>
      </c>
      <c r="AG213" s="19" t="s">
        <v>71</v>
      </c>
      <c r="AH213" s="19"/>
      <c r="AI213" s="19"/>
      <c r="AJ213" s="19" t="s">
        <v>71</v>
      </c>
      <c r="AK213" s="19"/>
      <c r="AL213" s="19" t="s">
        <v>71</v>
      </c>
      <c r="AM213" s="19"/>
      <c r="AN213" s="19" t="s">
        <v>71</v>
      </c>
      <c r="AO213" s="19"/>
      <c r="AP213" s="19" t="s">
        <v>71</v>
      </c>
      <c r="AQ213" s="19"/>
      <c r="AR213" s="19"/>
      <c r="AS213" s="21" t="s">
        <v>71</v>
      </c>
      <c r="AT213" s="18">
        <f>4527558.46</f>
        <v>4527558.46</v>
      </c>
      <c r="AU213" s="18"/>
      <c r="AV213" s="18"/>
      <c r="AW213" s="19" t="s">
        <v>71</v>
      </c>
      <c r="AX213" s="19"/>
      <c r="AY213" s="18">
        <f>-1297223.74</f>
        <v>-1297223.74</v>
      </c>
      <c r="AZ213" s="18"/>
      <c r="BA213" s="19" t="s">
        <v>71</v>
      </c>
      <c r="BB213" s="19"/>
      <c r="BC213" s="19"/>
      <c r="BD213" s="18">
        <f>-1297223.74</f>
        <v>-1297223.74</v>
      </c>
      <c r="BE213" s="18"/>
      <c r="BF213" s="20">
        <f>-3365734</f>
        <v>-3365734</v>
      </c>
      <c r="BG213" s="21" t="s">
        <v>71</v>
      </c>
      <c r="BH213" s="21" t="s">
        <v>71</v>
      </c>
      <c r="BI213" s="21" t="s">
        <v>71</v>
      </c>
      <c r="BJ213" s="21" t="s">
        <v>71</v>
      </c>
      <c r="BK213" s="21" t="s">
        <v>71</v>
      </c>
      <c r="BL213" s="21" t="s">
        <v>71</v>
      </c>
      <c r="BM213" s="21" t="s">
        <v>71</v>
      </c>
      <c r="BN213" s="18">
        <f>-4662957.74</f>
        <v>-4662957.74</v>
      </c>
      <c r="BO213" s="18"/>
      <c r="BP213" s="18"/>
      <c r="BQ213" s="22" t="s">
        <v>71</v>
      </c>
    </row>
    <row r="214" spans="1:69" s="1" customFormat="1" ht="24" customHeight="1">
      <c r="A214" s="16" t="s">
        <v>377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378</v>
      </c>
      <c r="N214" s="23"/>
      <c r="O214" s="23"/>
      <c r="P214" s="23" t="s">
        <v>70</v>
      </c>
      <c r="Q214" s="23"/>
      <c r="R214" s="23"/>
      <c r="S214" s="23"/>
      <c r="T214" s="23"/>
      <c r="U214" s="25" t="s">
        <v>71</v>
      </c>
      <c r="V214" s="25"/>
      <c r="W214" s="25"/>
      <c r="X214" s="25" t="s">
        <v>71</v>
      </c>
      <c r="Y214" s="25"/>
      <c r="Z214" s="25"/>
      <c r="AA214" s="25"/>
      <c r="AB214" s="25" t="s">
        <v>71</v>
      </c>
      <c r="AC214" s="25"/>
      <c r="AD214" s="25"/>
      <c r="AE214" s="26" t="s">
        <v>71</v>
      </c>
      <c r="AF214" s="26" t="s">
        <v>71</v>
      </c>
      <c r="AG214" s="25" t="s">
        <v>71</v>
      </c>
      <c r="AH214" s="25"/>
      <c r="AI214" s="25"/>
      <c r="AJ214" s="25" t="s">
        <v>71</v>
      </c>
      <c r="AK214" s="25"/>
      <c r="AL214" s="25" t="s">
        <v>71</v>
      </c>
      <c r="AM214" s="25"/>
      <c r="AN214" s="25" t="s">
        <v>71</v>
      </c>
      <c r="AO214" s="25"/>
      <c r="AP214" s="25" t="s">
        <v>71</v>
      </c>
      <c r="AQ214" s="25"/>
      <c r="AR214" s="25"/>
      <c r="AS214" s="26" t="s">
        <v>71</v>
      </c>
      <c r="AT214" s="25" t="s">
        <v>71</v>
      </c>
      <c r="AU214" s="25"/>
      <c r="AV214" s="25"/>
      <c r="AW214" s="25" t="s">
        <v>71</v>
      </c>
      <c r="AX214" s="25"/>
      <c r="AY214" s="25" t="s">
        <v>71</v>
      </c>
      <c r="AZ214" s="25"/>
      <c r="BA214" s="25" t="s">
        <v>71</v>
      </c>
      <c r="BB214" s="25"/>
      <c r="BC214" s="25"/>
      <c r="BD214" s="25" t="s">
        <v>71</v>
      </c>
      <c r="BE214" s="25"/>
      <c r="BF214" s="26" t="s">
        <v>71</v>
      </c>
      <c r="BG214" s="26" t="s">
        <v>71</v>
      </c>
      <c r="BH214" s="26" t="s">
        <v>71</v>
      </c>
      <c r="BI214" s="26" t="s">
        <v>71</v>
      </c>
      <c r="BJ214" s="26" t="s">
        <v>71</v>
      </c>
      <c r="BK214" s="26" t="s">
        <v>71</v>
      </c>
      <c r="BL214" s="26" t="s">
        <v>71</v>
      </c>
      <c r="BM214" s="26" t="s">
        <v>71</v>
      </c>
      <c r="BN214" s="25" t="s">
        <v>71</v>
      </c>
      <c r="BO214" s="25"/>
      <c r="BP214" s="25"/>
      <c r="BQ214" s="27" t="s">
        <v>71</v>
      </c>
    </row>
    <row r="215" spans="1:69" s="1" customFormat="1" ht="13.5" customHeight="1">
      <c r="A215" s="16" t="s">
        <v>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378</v>
      </c>
      <c r="N215" s="23"/>
      <c r="O215" s="23"/>
      <c r="P215" s="23" t="s">
        <v>9</v>
      </c>
      <c r="Q215" s="23"/>
      <c r="R215" s="23"/>
      <c r="S215" s="23"/>
      <c r="T215" s="23"/>
      <c r="U215" s="25" t="s">
        <v>71</v>
      </c>
      <c r="V215" s="25"/>
      <c r="W215" s="25"/>
      <c r="X215" s="25" t="s">
        <v>71</v>
      </c>
      <c r="Y215" s="25"/>
      <c r="Z215" s="25"/>
      <c r="AA215" s="25"/>
      <c r="AB215" s="25" t="s">
        <v>71</v>
      </c>
      <c r="AC215" s="25"/>
      <c r="AD215" s="25"/>
      <c r="AE215" s="26" t="s">
        <v>71</v>
      </c>
      <c r="AF215" s="26" t="s">
        <v>71</v>
      </c>
      <c r="AG215" s="25" t="s">
        <v>71</v>
      </c>
      <c r="AH215" s="25"/>
      <c r="AI215" s="25"/>
      <c r="AJ215" s="25" t="s">
        <v>71</v>
      </c>
      <c r="AK215" s="25"/>
      <c r="AL215" s="25" t="s">
        <v>71</v>
      </c>
      <c r="AM215" s="25"/>
      <c r="AN215" s="25" t="s">
        <v>71</v>
      </c>
      <c r="AO215" s="25"/>
      <c r="AP215" s="25" t="s">
        <v>71</v>
      </c>
      <c r="AQ215" s="25"/>
      <c r="AR215" s="25"/>
      <c r="AS215" s="26" t="s">
        <v>71</v>
      </c>
      <c r="AT215" s="25" t="s">
        <v>71</v>
      </c>
      <c r="AU215" s="25"/>
      <c r="AV215" s="25"/>
      <c r="AW215" s="25" t="s">
        <v>71</v>
      </c>
      <c r="AX215" s="25"/>
      <c r="AY215" s="25" t="s">
        <v>71</v>
      </c>
      <c r="AZ215" s="25"/>
      <c r="BA215" s="25" t="s">
        <v>71</v>
      </c>
      <c r="BB215" s="25"/>
      <c r="BC215" s="25"/>
      <c r="BD215" s="25" t="s">
        <v>71</v>
      </c>
      <c r="BE215" s="25"/>
      <c r="BF215" s="26" t="s">
        <v>71</v>
      </c>
      <c r="BG215" s="26" t="s">
        <v>71</v>
      </c>
      <c r="BH215" s="26" t="s">
        <v>71</v>
      </c>
      <c r="BI215" s="26" t="s">
        <v>71</v>
      </c>
      <c r="BJ215" s="26" t="s">
        <v>71</v>
      </c>
      <c r="BK215" s="26" t="s">
        <v>71</v>
      </c>
      <c r="BL215" s="26" t="s">
        <v>71</v>
      </c>
      <c r="BM215" s="26" t="s">
        <v>71</v>
      </c>
      <c r="BN215" s="25" t="s">
        <v>71</v>
      </c>
      <c r="BO215" s="25"/>
      <c r="BP215" s="25"/>
      <c r="BQ215" s="27" t="s">
        <v>71</v>
      </c>
    </row>
    <row r="216" spans="1:69" s="1" customFormat="1" ht="24" customHeight="1">
      <c r="A216" s="16" t="s">
        <v>379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380</v>
      </c>
      <c r="N216" s="23"/>
      <c r="O216" s="23"/>
      <c r="P216" s="23" t="s">
        <v>70</v>
      </c>
      <c r="Q216" s="23"/>
      <c r="R216" s="23"/>
      <c r="S216" s="23"/>
      <c r="T216" s="23"/>
      <c r="U216" s="25" t="s">
        <v>71</v>
      </c>
      <c r="V216" s="25"/>
      <c r="W216" s="25"/>
      <c r="X216" s="25" t="s">
        <v>71</v>
      </c>
      <c r="Y216" s="25"/>
      <c r="Z216" s="25"/>
      <c r="AA216" s="25"/>
      <c r="AB216" s="25" t="s">
        <v>71</v>
      </c>
      <c r="AC216" s="25"/>
      <c r="AD216" s="25"/>
      <c r="AE216" s="26" t="s">
        <v>71</v>
      </c>
      <c r="AF216" s="26" t="s">
        <v>71</v>
      </c>
      <c r="AG216" s="25" t="s">
        <v>71</v>
      </c>
      <c r="AH216" s="25"/>
      <c r="AI216" s="25"/>
      <c r="AJ216" s="25" t="s">
        <v>71</v>
      </c>
      <c r="AK216" s="25"/>
      <c r="AL216" s="25" t="s">
        <v>71</v>
      </c>
      <c r="AM216" s="25"/>
      <c r="AN216" s="25" t="s">
        <v>71</v>
      </c>
      <c r="AO216" s="25"/>
      <c r="AP216" s="25" t="s">
        <v>71</v>
      </c>
      <c r="AQ216" s="25"/>
      <c r="AR216" s="25"/>
      <c r="AS216" s="26" t="s">
        <v>71</v>
      </c>
      <c r="AT216" s="25" t="s">
        <v>71</v>
      </c>
      <c r="AU216" s="25"/>
      <c r="AV216" s="25"/>
      <c r="AW216" s="25" t="s">
        <v>71</v>
      </c>
      <c r="AX216" s="25"/>
      <c r="AY216" s="25" t="s">
        <v>71</v>
      </c>
      <c r="AZ216" s="25"/>
      <c r="BA216" s="25" t="s">
        <v>71</v>
      </c>
      <c r="BB216" s="25"/>
      <c r="BC216" s="25"/>
      <c r="BD216" s="25" t="s">
        <v>71</v>
      </c>
      <c r="BE216" s="25"/>
      <c r="BF216" s="26" t="s">
        <v>71</v>
      </c>
      <c r="BG216" s="26" t="s">
        <v>71</v>
      </c>
      <c r="BH216" s="26" t="s">
        <v>71</v>
      </c>
      <c r="BI216" s="26" t="s">
        <v>71</v>
      </c>
      <c r="BJ216" s="26" t="s">
        <v>71</v>
      </c>
      <c r="BK216" s="26" t="s">
        <v>71</v>
      </c>
      <c r="BL216" s="26" t="s">
        <v>71</v>
      </c>
      <c r="BM216" s="26" t="s">
        <v>71</v>
      </c>
      <c r="BN216" s="25" t="s">
        <v>71</v>
      </c>
      <c r="BO216" s="25"/>
      <c r="BP216" s="25"/>
      <c r="BQ216" s="27" t="s">
        <v>71</v>
      </c>
    </row>
    <row r="217" spans="1:69" s="1" customFormat="1" ht="13.5" customHeight="1">
      <c r="A217" s="16" t="s">
        <v>9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380</v>
      </c>
      <c r="N217" s="23"/>
      <c r="O217" s="23"/>
      <c r="P217" s="23" t="s">
        <v>9</v>
      </c>
      <c r="Q217" s="23"/>
      <c r="R217" s="23"/>
      <c r="S217" s="23"/>
      <c r="T217" s="23"/>
      <c r="U217" s="25" t="s">
        <v>71</v>
      </c>
      <c r="V217" s="25"/>
      <c r="W217" s="25"/>
      <c r="X217" s="25" t="s">
        <v>71</v>
      </c>
      <c r="Y217" s="25"/>
      <c r="Z217" s="25"/>
      <c r="AA217" s="25"/>
      <c r="AB217" s="25" t="s">
        <v>71</v>
      </c>
      <c r="AC217" s="25"/>
      <c r="AD217" s="25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5" t="s">
        <v>71</v>
      </c>
      <c r="AU217" s="25"/>
      <c r="AV217" s="25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13.5" customHeight="1">
      <c r="A218" s="16" t="s">
        <v>381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382</v>
      </c>
      <c r="N218" s="23"/>
      <c r="O218" s="23"/>
      <c r="P218" s="23" t="s">
        <v>383</v>
      </c>
      <c r="Q218" s="23"/>
      <c r="R218" s="23"/>
      <c r="S218" s="23"/>
      <c r="T218" s="23"/>
      <c r="U218" s="24">
        <f>26046249.46</f>
        <v>26046249.46</v>
      </c>
      <c r="V218" s="24"/>
      <c r="W218" s="24"/>
      <c r="X218" s="25" t="s">
        <v>71</v>
      </c>
      <c r="Y218" s="25"/>
      <c r="Z218" s="25"/>
      <c r="AA218" s="25"/>
      <c r="AB218" s="24">
        <f>26046249.46</f>
        <v>26046249.46</v>
      </c>
      <c r="AC218" s="24"/>
      <c r="AD218" s="24"/>
      <c r="AE218" s="28">
        <f>-21518691</f>
        <v>-21518691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4">
        <f>4527558.46</f>
        <v>4527558.46</v>
      </c>
      <c r="AU218" s="24"/>
      <c r="AV218" s="24"/>
      <c r="AW218" s="25" t="s">
        <v>71</v>
      </c>
      <c r="AX218" s="25"/>
      <c r="AY218" s="24">
        <f>-1297223.74</f>
        <v>-1297223.74</v>
      </c>
      <c r="AZ218" s="24"/>
      <c r="BA218" s="25" t="s">
        <v>71</v>
      </c>
      <c r="BB218" s="25"/>
      <c r="BC218" s="25"/>
      <c r="BD218" s="24">
        <f>-1297223.74</f>
        <v>-1297223.74</v>
      </c>
      <c r="BE218" s="24"/>
      <c r="BF218" s="28">
        <f>-3365734</f>
        <v>-3365734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4">
        <f>-4662957.74</f>
        <v>-4662957.74</v>
      </c>
      <c r="BO218" s="24"/>
      <c r="BP218" s="24"/>
      <c r="BQ218" s="27" t="s">
        <v>71</v>
      </c>
    </row>
    <row r="219" spans="1:69" s="1" customFormat="1" ht="13.5" customHeight="1">
      <c r="A219" s="16" t="s">
        <v>384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385</v>
      </c>
      <c r="N219" s="23"/>
      <c r="O219" s="23"/>
      <c r="P219" s="23" t="s">
        <v>386</v>
      </c>
      <c r="Q219" s="23"/>
      <c r="R219" s="23"/>
      <c r="S219" s="23"/>
      <c r="T219" s="23"/>
      <c r="U219" s="24">
        <f>-12085260</f>
        <v>-12085260</v>
      </c>
      <c r="V219" s="24"/>
      <c r="W219" s="24"/>
      <c r="X219" s="25" t="s">
        <v>71</v>
      </c>
      <c r="Y219" s="25"/>
      <c r="Z219" s="25"/>
      <c r="AA219" s="25"/>
      <c r="AB219" s="24">
        <f>-12085260</f>
        <v>-12085260</v>
      </c>
      <c r="AC219" s="24"/>
      <c r="AD219" s="24"/>
      <c r="AE219" s="28">
        <f>-22180054</f>
        <v>-22180054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4">
        <f>-34265314</f>
        <v>-34265314</v>
      </c>
      <c r="AU219" s="24"/>
      <c r="AV219" s="24"/>
      <c r="AW219" s="25" t="s">
        <v>71</v>
      </c>
      <c r="AX219" s="25"/>
      <c r="AY219" s="24">
        <f>-4934052.03</f>
        <v>-4934052.03</v>
      </c>
      <c r="AZ219" s="24"/>
      <c r="BA219" s="25" t="s">
        <v>71</v>
      </c>
      <c r="BB219" s="25"/>
      <c r="BC219" s="25"/>
      <c r="BD219" s="24">
        <f>-4934052.03</f>
        <v>-4934052.03</v>
      </c>
      <c r="BE219" s="24"/>
      <c r="BF219" s="28">
        <f>-3387400</f>
        <v>-3387400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4">
        <f>-8321452.03</f>
        <v>-8321452.03</v>
      </c>
      <c r="BO219" s="24"/>
      <c r="BP219" s="24"/>
      <c r="BQ219" s="27" t="s">
        <v>71</v>
      </c>
    </row>
    <row r="220" spans="1:69" s="1" customFormat="1" ht="13.5" customHeight="1">
      <c r="A220" s="16" t="s">
        <v>387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385</v>
      </c>
      <c r="N220" s="23"/>
      <c r="O220" s="23"/>
      <c r="P220" s="23" t="s">
        <v>388</v>
      </c>
      <c r="Q220" s="23"/>
      <c r="R220" s="23"/>
      <c r="S220" s="23"/>
      <c r="T220" s="23"/>
      <c r="U220" s="24">
        <f>-12085260</f>
        <v>-12085260</v>
      </c>
      <c r="V220" s="24"/>
      <c r="W220" s="24"/>
      <c r="X220" s="25" t="s">
        <v>71</v>
      </c>
      <c r="Y220" s="25"/>
      <c r="Z220" s="25"/>
      <c r="AA220" s="25"/>
      <c r="AB220" s="24">
        <f>-12085260</f>
        <v>-12085260</v>
      </c>
      <c r="AC220" s="24"/>
      <c r="AD220" s="24"/>
      <c r="AE220" s="28">
        <f>-22180054</f>
        <v>-22180054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4">
        <f>-34265314</f>
        <v>-34265314</v>
      </c>
      <c r="AU220" s="24"/>
      <c r="AV220" s="24"/>
      <c r="AW220" s="25" t="s">
        <v>71</v>
      </c>
      <c r="AX220" s="25"/>
      <c r="AY220" s="24">
        <f>-4934052.03</f>
        <v>-4934052.03</v>
      </c>
      <c r="AZ220" s="24"/>
      <c r="BA220" s="25" t="s">
        <v>71</v>
      </c>
      <c r="BB220" s="25"/>
      <c r="BC220" s="25"/>
      <c r="BD220" s="24">
        <f>-4934052.03</f>
        <v>-4934052.03</v>
      </c>
      <c r="BE220" s="24"/>
      <c r="BF220" s="28">
        <f>-3387400</f>
        <v>-3387400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4">
        <f>-8321452.03</f>
        <v>-8321452.03</v>
      </c>
      <c r="BO220" s="24"/>
      <c r="BP220" s="24"/>
      <c r="BQ220" s="27" t="s">
        <v>71</v>
      </c>
    </row>
    <row r="221" spans="1:69" s="1" customFormat="1" ht="24" customHeight="1">
      <c r="A221" s="16" t="s">
        <v>389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385</v>
      </c>
      <c r="N221" s="23"/>
      <c r="O221" s="23"/>
      <c r="P221" s="23" t="s">
        <v>390</v>
      </c>
      <c r="Q221" s="23"/>
      <c r="R221" s="23"/>
      <c r="S221" s="23"/>
      <c r="T221" s="23"/>
      <c r="U221" s="24">
        <f>-12085260</f>
        <v>-12085260</v>
      </c>
      <c r="V221" s="24"/>
      <c r="W221" s="24"/>
      <c r="X221" s="25" t="s">
        <v>71</v>
      </c>
      <c r="Y221" s="25"/>
      <c r="Z221" s="25"/>
      <c r="AA221" s="25"/>
      <c r="AB221" s="24">
        <f>-12085260</f>
        <v>-12085260</v>
      </c>
      <c r="AC221" s="24"/>
      <c r="AD221" s="24"/>
      <c r="AE221" s="28">
        <f>-22180054</f>
        <v>-22180054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-34265314</f>
        <v>-34265314</v>
      </c>
      <c r="AU221" s="24"/>
      <c r="AV221" s="24"/>
      <c r="AW221" s="25" t="s">
        <v>71</v>
      </c>
      <c r="AX221" s="25"/>
      <c r="AY221" s="24">
        <f>-4934052.03</f>
        <v>-4934052.03</v>
      </c>
      <c r="AZ221" s="24"/>
      <c r="BA221" s="25" t="s">
        <v>71</v>
      </c>
      <c r="BB221" s="25"/>
      <c r="BC221" s="25"/>
      <c r="BD221" s="24">
        <f>-4934052.03</f>
        <v>-4934052.03</v>
      </c>
      <c r="BE221" s="24"/>
      <c r="BF221" s="28">
        <f>-3387400</f>
        <v>-3387400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-8321452.03</f>
        <v>-8321452.03</v>
      </c>
      <c r="BO221" s="24"/>
      <c r="BP221" s="24"/>
      <c r="BQ221" s="27" t="s">
        <v>71</v>
      </c>
    </row>
    <row r="222" spans="1:69" s="1" customFormat="1" ht="24" customHeight="1">
      <c r="A222" s="16" t="s">
        <v>391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385</v>
      </c>
      <c r="N222" s="23"/>
      <c r="O222" s="23"/>
      <c r="P222" s="23" t="s">
        <v>392</v>
      </c>
      <c r="Q222" s="23"/>
      <c r="R222" s="23"/>
      <c r="S222" s="23"/>
      <c r="T222" s="23"/>
      <c r="U222" s="24">
        <f>-12085260</f>
        <v>-12085260</v>
      </c>
      <c r="V222" s="24"/>
      <c r="W222" s="24"/>
      <c r="X222" s="25" t="s">
        <v>71</v>
      </c>
      <c r="Y222" s="25"/>
      <c r="Z222" s="25"/>
      <c r="AA222" s="25"/>
      <c r="AB222" s="24">
        <f>-12085260</f>
        <v>-12085260</v>
      </c>
      <c r="AC222" s="24"/>
      <c r="AD222" s="24"/>
      <c r="AE222" s="28">
        <f>-22180054</f>
        <v>-22180054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-34265314</f>
        <v>-34265314</v>
      </c>
      <c r="AU222" s="24"/>
      <c r="AV222" s="24"/>
      <c r="AW222" s="25" t="s">
        <v>71</v>
      </c>
      <c r="AX222" s="25"/>
      <c r="AY222" s="24">
        <f>-4934052.03</f>
        <v>-4934052.03</v>
      </c>
      <c r="AZ222" s="24"/>
      <c r="BA222" s="25" t="s">
        <v>71</v>
      </c>
      <c r="BB222" s="25"/>
      <c r="BC222" s="25"/>
      <c r="BD222" s="24">
        <f>-4934052.03</f>
        <v>-4934052.03</v>
      </c>
      <c r="BE222" s="24"/>
      <c r="BF222" s="28">
        <f>-3387400</f>
        <v>-3387400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4">
        <f>-8321452.03</f>
        <v>-8321452.03</v>
      </c>
      <c r="BO222" s="24"/>
      <c r="BP222" s="24"/>
      <c r="BQ222" s="27" t="s">
        <v>71</v>
      </c>
    </row>
    <row r="223" spans="1:69" s="1" customFormat="1" ht="13.5" customHeight="1">
      <c r="A223" s="16" t="s">
        <v>393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394</v>
      </c>
      <c r="N223" s="23"/>
      <c r="O223" s="23"/>
      <c r="P223" s="23" t="s">
        <v>395</v>
      </c>
      <c r="Q223" s="23"/>
      <c r="R223" s="23"/>
      <c r="S223" s="23"/>
      <c r="T223" s="23"/>
      <c r="U223" s="24">
        <f>38131509.46</f>
        <v>38131509.46</v>
      </c>
      <c r="V223" s="24"/>
      <c r="W223" s="24"/>
      <c r="X223" s="25" t="s">
        <v>71</v>
      </c>
      <c r="Y223" s="25"/>
      <c r="Z223" s="25"/>
      <c r="AA223" s="25"/>
      <c r="AB223" s="24">
        <f>38131509.46</f>
        <v>38131509.46</v>
      </c>
      <c r="AC223" s="24"/>
      <c r="AD223" s="24"/>
      <c r="AE223" s="28">
        <f>661363</f>
        <v>661363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38792872.46</f>
        <v>38792872.46</v>
      </c>
      <c r="AU223" s="24"/>
      <c r="AV223" s="24"/>
      <c r="AW223" s="25" t="s">
        <v>71</v>
      </c>
      <c r="AX223" s="25"/>
      <c r="AY223" s="24">
        <f>3636828.29</f>
        <v>3636828.29</v>
      </c>
      <c r="AZ223" s="24"/>
      <c r="BA223" s="25" t="s">
        <v>71</v>
      </c>
      <c r="BB223" s="25"/>
      <c r="BC223" s="25"/>
      <c r="BD223" s="24">
        <f>3636828.29</f>
        <v>3636828.29</v>
      </c>
      <c r="BE223" s="24"/>
      <c r="BF223" s="28">
        <f>21666</f>
        <v>21666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3658494.29</f>
        <v>3658494.29</v>
      </c>
      <c r="BO223" s="24"/>
      <c r="BP223" s="24"/>
      <c r="BQ223" s="27" t="s">
        <v>71</v>
      </c>
    </row>
    <row r="224" spans="1:69" s="1" customFormat="1" ht="13.5" customHeight="1">
      <c r="A224" s="16" t="s">
        <v>396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394</v>
      </c>
      <c r="N224" s="23"/>
      <c r="O224" s="23"/>
      <c r="P224" s="23" t="s">
        <v>397</v>
      </c>
      <c r="Q224" s="23"/>
      <c r="R224" s="23"/>
      <c r="S224" s="23"/>
      <c r="T224" s="23"/>
      <c r="U224" s="24">
        <f>38131509.46</f>
        <v>38131509.46</v>
      </c>
      <c r="V224" s="24"/>
      <c r="W224" s="24"/>
      <c r="X224" s="25" t="s">
        <v>71</v>
      </c>
      <c r="Y224" s="25"/>
      <c r="Z224" s="25"/>
      <c r="AA224" s="25"/>
      <c r="AB224" s="24">
        <f>38131509.46</f>
        <v>38131509.46</v>
      </c>
      <c r="AC224" s="24"/>
      <c r="AD224" s="24"/>
      <c r="AE224" s="28">
        <f>661363</f>
        <v>661363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38792872.46</f>
        <v>38792872.46</v>
      </c>
      <c r="AU224" s="24"/>
      <c r="AV224" s="24"/>
      <c r="AW224" s="25" t="s">
        <v>71</v>
      </c>
      <c r="AX224" s="25"/>
      <c r="AY224" s="24">
        <f>3636828.29</f>
        <v>3636828.29</v>
      </c>
      <c r="AZ224" s="24"/>
      <c r="BA224" s="25" t="s">
        <v>71</v>
      </c>
      <c r="BB224" s="25"/>
      <c r="BC224" s="25"/>
      <c r="BD224" s="24">
        <f>3636828.29</f>
        <v>3636828.29</v>
      </c>
      <c r="BE224" s="24"/>
      <c r="BF224" s="28">
        <f>21666</f>
        <v>21666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3658494.29</f>
        <v>3658494.29</v>
      </c>
      <c r="BO224" s="24"/>
      <c r="BP224" s="24"/>
      <c r="BQ224" s="27" t="s">
        <v>71</v>
      </c>
    </row>
    <row r="225" spans="1:69" s="1" customFormat="1" ht="24" customHeight="1">
      <c r="A225" s="16" t="s">
        <v>398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394</v>
      </c>
      <c r="N225" s="23"/>
      <c r="O225" s="23"/>
      <c r="P225" s="23" t="s">
        <v>399</v>
      </c>
      <c r="Q225" s="23"/>
      <c r="R225" s="23"/>
      <c r="S225" s="23"/>
      <c r="T225" s="23"/>
      <c r="U225" s="24">
        <f>38131509.46</f>
        <v>38131509.46</v>
      </c>
      <c r="V225" s="24"/>
      <c r="W225" s="24"/>
      <c r="X225" s="25" t="s">
        <v>71</v>
      </c>
      <c r="Y225" s="25"/>
      <c r="Z225" s="25"/>
      <c r="AA225" s="25"/>
      <c r="AB225" s="24">
        <f>38131509.46</f>
        <v>38131509.46</v>
      </c>
      <c r="AC225" s="24"/>
      <c r="AD225" s="24"/>
      <c r="AE225" s="28">
        <f>661363</f>
        <v>661363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38792872.46</f>
        <v>38792872.46</v>
      </c>
      <c r="AU225" s="24"/>
      <c r="AV225" s="24"/>
      <c r="AW225" s="25" t="s">
        <v>71</v>
      </c>
      <c r="AX225" s="25"/>
      <c r="AY225" s="24">
        <f>3636828.29</f>
        <v>3636828.29</v>
      </c>
      <c r="AZ225" s="24"/>
      <c r="BA225" s="25" t="s">
        <v>71</v>
      </c>
      <c r="BB225" s="25"/>
      <c r="BC225" s="25"/>
      <c r="BD225" s="24">
        <f>3636828.29</f>
        <v>3636828.29</v>
      </c>
      <c r="BE225" s="24"/>
      <c r="BF225" s="28">
        <f>21666</f>
        <v>21666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3658494.29</f>
        <v>3658494.29</v>
      </c>
      <c r="BO225" s="24"/>
      <c r="BP225" s="24"/>
      <c r="BQ225" s="27" t="s">
        <v>71</v>
      </c>
    </row>
    <row r="226" spans="1:69" s="1" customFormat="1" ht="24" customHeight="1">
      <c r="A226" s="16" t="s">
        <v>400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394</v>
      </c>
      <c r="N226" s="23"/>
      <c r="O226" s="23"/>
      <c r="P226" s="23" t="s">
        <v>401</v>
      </c>
      <c r="Q226" s="23"/>
      <c r="R226" s="23"/>
      <c r="S226" s="23"/>
      <c r="T226" s="23"/>
      <c r="U226" s="24">
        <f>38131509.46</f>
        <v>38131509.46</v>
      </c>
      <c r="V226" s="24"/>
      <c r="W226" s="24"/>
      <c r="X226" s="25" t="s">
        <v>71</v>
      </c>
      <c r="Y226" s="25"/>
      <c r="Z226" s="25"/>
      <c r="AA226" s="25"/>
      <c r="AB226" s="24">
        <f>38131509.46</f>
        <v>38131509.46</v>
      </c>
      <c r="AC226" s="24"/>
      <c r="AD226" s="24"/>
      <c r="AE226" s="28">
        <f>661363</f>
        <v>661363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38792872.46</f>
        <v>38792872.46</v>
      </c>
      <c r="AU226" s="24"/>
      <c r="AV226" s="24"/>
      <c r="AW226" s="25" t="s">
        <v>71</v>
      </c>
      <c r="AX226" s="25"/>
      <c r="AY226" s="24">
        <f>3636828.29</f>
        <v>3636828.29</v>
      </c>
      <c r="AZ226" s="24"/>
      <c r="BA226" s="25" t="s">
        <v>71</v>
      </c>
      <c r="BB226" s="25"/>
      <c r="BC226" s="25"/>
      <c r="BD226" s="24">
        <f>3636828.29</f>
        <v>3636828.29</v>
      </c>
      <c r="BE226" s="24"/>
      <c r="BF226" s="28">
        <f>21666</f>
        <v>21666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3658494.29</f>
        <v>3658494.29</v>
      </c>
      <c r="BO226" s="24"/>
      <c r="BP226" s="24"/>
      <c r="BQ226" s="27" t="s">
        <v>71</v>
      </c>
    </row>
    <row r="227" spans="1:69" s="1" customFormat="1" ht="13.5" customHeight="1">
      <c r="A227" s="29" t="s">
        <v>9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0" t="s">
        <v>9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</row>
    <row r="228" spans="1:69" s="1" customFormat="1" ht="15.75" customHeight="1">
      <c r="A228" s="12" t="s">
        <v>402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</row>
    <row r="229" spans="1:69" s="1" customFormat="1" ht="13.5" customHeight="1">
      <c r="A229" s="39" t="s">
        <v>403</v>
      </c>
      <c r="B229" s="3" t="s">
        <v>21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 t="s">
        <v>22</v>
      </c>
      <c r="W229" s="3"/>
      <c r="X229" s="3"/>
      <c r="Y229" s="40" t="s">
        <v>404</v>
      </c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3" t="s">
        <v>407</v>
      </c>
      <c r="BA229" s="3"/>
      <c r="BB229" s="3"/>
      <c r="BC229" s="3"/>
      <c r="BD229" s="3"/>
      <c r="BE229" s="29" t="s">
        <v>9</v>
      </c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</row>
    <row r="230" spans="1:69" s="1" customFormat="1" ht="66" customHeight="1">
      <c r="A230" s="3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 t="s">
        <v>29</v>
      </c>
      <c r="Z230" s="3"/>
      <c r="AA230" s="3"/>
      <c r="AB230" s="3"/>
      <c r="AC230" s="3" t="s">
        <v>30</v>
      </c>
      <c r="AD230" s="3"/>
      <c r="AE230" s="3"/>
      <c r="AF230" s="3" t="s">
        <v>31</v>
      </c>
      <c r="AG230" s="3"/>
      <c r="AH230" s="3"/>
      <c r="AI230" s="3" t="s">
        <v>32</v>
      </c>
      <c r="AJ230" s="3"/>
      <c r="AK230" s="3" t="s">
        <v>33</v>
      </c>
      <c r="AL230" s="3"/>
      <c r="AM230" s="3"/>
      <c r="AN230" s="3"/>
      <c r="AO230" s="3" t="s">
        <v>34</v>
      </c>
      <c r="AP230" s="3"/>
      <c r="AQ230" s="3"/>
      <c r="AR230" s="3" t="s">
        <v>35</v>
      </c>
      <c r="AS230" s="3"/>
      <c r="AT230" s="3"/>
      <c r="AU230" s="3" t="s">
        <v>405</v>
      </c>
      <c r="AV230" s="3"/>
      <c r="AW230" s="3"/>
      <c r="AX230" s="3" t="s">
        <v>406</v>
      </c>
      <c r="AY230" s="3"/>
      <c r="AZ230" s="3"/>
      <c r="BA230" s="3"/>
      <c r="BB230" s="3"/>
      <c r="BC230" s="3"/>
      <c r="BD230" s="3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</row>
    <row r="231" spans="1:69" s="1" customFormat="1" ht="13.5" customHeight="1">
      <c r="A231" s="39"/>
      <c r="B231" s="23" t="s">
        <v>39</v>
      </c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 t="s">
        <v>40</v>
      </c>
      <c r="W231" s="23"/>
      <c r="X231" s="23"/>
      <c r="Y231" s="23" t="s">
        <v>41</v>
      </c>
      <c r="Z231" s="23"/>
      <c r="AA231" s="23"/>
      <c r="AB231" s="23"/>
      <c r="AC231" s="23" t="s">
        <v>42</v>
      </c>
      <c r="AD231" s="23"/>
      <c r="AE231" s="23"/>
      <c r="AF231" s="23" t="s">
        <v>43</v>
      </c>
      <c r="AG231" s="23"/>
      <c r="AH231" s="23"/>
      <c r="AI231" s="23" t="s">
        <v>44</v>
      </c>
      <c r="AJ231" s="23"/>
      <c r="AK231" s="23" t="s">
        <v>45</v>
      </c>
      <c r="AL231" s="23"/>
      <c r="AM231" s="23"/>
      <c r="AN231" s="23"/>
      <c r="AO231" s="23" t="s">
        <v>46</v>
      </c>
      <c r="AP231" s="23"/>
      <c r="AQ231" s="23"/>
      <c r="AR231" s="23" t="s">
        <v>47</v>
      </c>
      <c r="AS231" s="23"/>
      <c r="AT231" s="23"/>
      <c r="AU231" s="23" t="s">
        <v>48</v>
      </c>
      <c r="AV231" s="23"/>
      <c r="AW231" s="23"/>
      <c r="AX231" s="23" t="s">
        <v>49</v>
      </c>
      <c r="AY231" s="23"/>
      <c r="AZ231" s="23" t="s">
        <v>50</v>
      </c>
      <c r="BA231" s="23"/>
      <c r="BB231" s="23"/>
      <c r="BC231" s="23"/>
      <c r="BD231" s="23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</row>
    <row r="232" spans="1:69" s="1" customFormat="1" ht="13.5" customHeight="1">
      <c r="A232" s="39"/>
      <c r="B232" s="41" t="s">
        <v>408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2" t="s">
        <v>409</v>
      </c>
      <c r="W232" s="42"/>
      <c r="X232" s="42"/>
      <c r="Y232" s="19" t="s">
        <v>71</v>
      </c>
      <c r="Z232" s="19"/>
      <c r="AA232" s="19"/>
      <c r="AB232" s="19"/>
      <c r="AC232" s="19" t="s">
        <v>71</v>
      </c>
      <c r="AD232" s="19"/>
      <c r="AE232" s="19"/>
      <c r="AF232" s="19" t="s">
        <v>71</v>
      </c>
      <c r="AG232" s="19"/>
      <c r="AH232" s="19"/>
      <c r="AI232" s="19" t="s">
        <v>71</v>
      </c>
      <c r="AJ232" s="19"/>
      <c r="AK232" s="19" t="s">
        <v>71</v>
      </c>
      <c r="AL232" s="19"/>
      <c r="AM232" s="19"/>
      <c r="AN232" s="19"/>
      <c r="AO232" s="18">
        <f>21666</f>
        <v>21666</v>
      </c>
      <c r="AP232" s="18"/>
      <c r="AQ232" s="18"/>
      <c r="AR232" s="19" t="s">
        <v>71</v>
      </c>
      <c r="AS232" s="19"/>
      <c r="AT232" s="19"/>
      <c r="AU232" s="19" t="s">
        <v>71</v>
      </c>
      <c r="AV232" s="19"/>
      <c r="AW232" s="19"/>
      <c r="AX232" s="19" t="s">
        <v>71</v>
      </c>
      <c r="AY232" s="19"/>
      <c r="AZ232" s="43">
        <f>21666</f>
        <v>21666</v>
      </c>
      <c r="BA232" s="43"/>
      <c r="BB232" s="43"/>
      <c r="BC232" s="43"/>
      <c r="BD232" s="43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</row>
    <row r="233" spans="1:69" s="1" customFormat="1" ht="13.5" customHeight="1">
      <c r="A233" s="39"/>
      <c r="B233" s="44" t="s">
        <v>410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5" t="s">
        <v>411</v>
      </c>
      <c r="W233" s="45"/>
      <c r="X233" s="45"/>
      <c r="Y233" s="25" t="s">
        <v>71</v>
      </c>
      <c r="Z233" s="25"/>
      <c r="AA233" s="25"/>
      <c r="AB233" s="25"/>
      <c r="AC233" s="25" t="s">
        <v>71</v>
      </c>
      <c r="AD233" s="25"/>
      <c r="AE233" s="25"/>
      <c r="AF233" s="25" t="s">
        <v>71</v>
      </c>
      <c r="AG233" s="25"/>
      <c r="AH233" s="25"/>
      <c r="AI233" s="25" t="s">
        <v>71</v>
      </c>
      <c r="AJ233" s="25"/>
      <c r="AK233" s="25" t="s">
        <v>71</v>
      </c>
      <c r="AL233" s="25"/>
      <c r="AM233" s="25"/>
      <c r="AN233" s="25"/>
      <c r="AO233" s="25" t="s">
        <v>71</v>
      </c>
      <c r="AP233" s="25"/>
      <c r="AQ233" s="25"/>
      <c r="AR233" s="25" t="s">
        <v>71</v>
      </c>
      <c r="AS233" s="25"/>
      <c r="AT233" s="25"/>
      <c r="AU233" s="25" t="s">
        <v>71</v>
      </c>
      <c r="AV233" s="25"/>
      <c r="AW233" s="25"/>
      <c r="AX233" s="25" t="s">
        <v>71</v>
      </c>
      <c r="AY233" s="25"/>
      <c r="AZ233" s="46" t="s">
        <v>71</v>
      </c>
      <c r="BA233" s="46"/>
      <c r="BB233" s="46"/>
      <c r="BC233" s="46"/>
      <c r="BD233" s="4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</row>
    <row r="234" spans="1:69" s="1" customFormat="1" ht="13.5" customHeight="1">
      <c r="A234" s="39"/>
      <c r="B234" s="47" t="s">
        <v>412</v>
      </c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8" t="s">
        <v>9</v>
      </c>
      <c r="W234" s="48"/>
      <c r="X234" s="48"/>
      <c r="Y234" s="49" t="s">
        <v>9</v>
      </c>
      <c r="Z234" s="49"/>
      <c r="AA234" s="49"/>
      <c r="AB234" s="49"/>
      <c r="AC234" s="49" t="s">
        <v>9</v>
      </c>
      <c r="AD234" s="49"/>
      <c r="AE234" s="49"/>
      <c r="AF234" s="49" t="s">
        <v>9</v>
      </c>
      <c r="AG234" s="49"/>
      <c r="AH234" s="49"/>
      <c r="AI234" s="49" t="s">
        <v>9</v>
      </c>
      <c r="AJ234" s="49"/>
      <c r="AK234" s="49" t="s">
        <v>9</v>
      </c>
      <c r="AL234" s="49"/>
      <c r="AM234" s="49"/>
      <c r="AN234" s="49"/>
      <c r="AO234" s="49" t="s">
        <v>9</v>
      </c>
      <c r="AP234" s="49"/>
      <c r="AQ234" s="49"/>
      <c r="AR234" s="49" t="s">
        <v>9</v>
      </c>
      <c r="AS234" s="49"/>
      <c r="AT234" s="49"/>
      <c r="AU234" s="49" t="s">
        <v>9</v>
      </c>
      <c r="AV234" s="49"/>
      <c r="AW234" s="49"/>
      <c r="AX234" s="49" t="s">
        <v>9</v>
      </c>
      <c r="AY234" s="49"/>
      <c r="AZ234" s="50" t="s">
        <v>9</v>
      </c>
      <c r="BA234" s="50"/>
      <c r="BB234" s="50"/>
      <c r="BC234" s="50"/>
      <c r="BD234" s="50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</row>
    <row r="235" spans="1:69" s="1" customFormat="1" ht="13.5" customHeight="1">
      <c r="A235" s="39"/>
      <c r="B235" s="51" t="s">
        <v>9</v>
      </c>
      <c r="C235" s="52" t="s">
        <v>413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3" t="s">
        <v>414</v>
      </c>
      <c r="W235" s="53"/>
      <c r="X235" s="53"/>
      <c r="Y235" s="54" t="s">
        <v>71</v>
      </c>
      <c r="Z235" s="54"/>
      <c r="AA235" s="54"/>
      <c r="AB235" s="54"/>
      <c r="AC235" s="54" t="s">
        <v>71</v>
      </c>
      <c r="AD235" s="54"/>
      <c r="AE235" s="54"/>
      <c r="AF235" s="54" t="s">
        <v>71</v>
      </c>
      <c r="AG235" s="54"/>
      <c r="AH235" s="54"/>
      <c r="AI235" s="54" t="s">
        <v>71</v>
      </c>
      <c r="AJ235" s="54"/>
      <c r="AK235" s="54" t="s">
        <v>71</v>
      </c>
      <c r="AL235" s="54"/>
      <c r="AM235" s="54"/>
      <c r="AN235" s="54"/>
      <c r="AO235" s="54" t="s">
        <v>71</v>
      </c>
      <c r="AP235" s="54"/>
      <c r="AQ235" s="54"/>
      <c r="AR235" s="54" t="s">
        <v>71</v>
      </c>
      <c r="AS235" s="54"/>
      <c r="AT235" s="54"/>
      <c r="AU235" s="54" t="s">
        <v>71</v>
      </c>
      <c r="AV235" s="54"/>
      <c r="AW235" s="54"/>
      <c r="AX235" s="54" t="s">
        <v>71</v>
      </c>
      <c r="AY235" s="54"/>
      <c r="AZ235" s="55" t="s">
        <v>71</v>
      </c>
      <c r="BA235" s="55"/>
      <c r="BB235" s="55"/>
      <c r="BC235" s="55"/>
      <c r="BD235" s="55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</row>
    <row r="236" spans="1:69" s="1" customFormat="1" ht="13.5" customHeight="1">
      <c r="A236" s="39"/>
      <c r="B236" s="56" t="s">
        <v>9</v>
      </c>
      <c r="C236" s="57" t="s">
        <v>415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8" t="s">
        <v>416</v>
      </c>
      <c r="W236" s="58"/>
      <c r="X236" s="58"/>
      <c r="Y236" s="25" t="s">
        <v>71</v>
      </c>
      <c r="Z236" s="25"/>
      <c r="AA236" s="25"/>
      <c r="AB236" s="25"/>
      <c r="AC236" s="25" t="s">
        <v>71</v>
      </c>
      <c r="AD236" s="25"/>
      <c r="AE236" s="25"/>
      <c r="AF236" s="25" t="s">
        <v>71</v>
      </c>
      <c r="AG236" s="25"/>
      <c r="AH236" s="25"/>
      <c r="AI236" s="25" t="s">
        <v>71</v>
      </c>
      <c r="AJ236" s="25"/>
      <c r="AK236" s="25" t="s">
        <v>71</v>
      </c>
      <c r="AL236" s="25"/>
      <c r="AM236" s="25"/>
      <c r="AN236" s="25"/>
      <c r="AO236" s="25" t="s">
        <v>71</v>
      </c>
      <c r="AP236" s="25"/>
      <c r="AQ236" s="25"/>
      <c r="AR236" s="25" t="s">
        <v>71</v>
      </c>
      <c r="AS236" s="25"/>
      <c r="AT236" s="25"/>
      <c r="AU236" s="25" t="s">
        <v>71</v>
      </c>
      <c r="AV236" s="25"/>
      <c r="AW236" s="25"/>
      <c r="AX236" s="25" t="s">
        <v>71</v>
      </c>
      <c r="AY236" s="25"/>
      <c r="AZ236" s="46" t="s">
        <v>71</v>
      </c>
      <c r="BA236" s="46"/>
      <c r="BB236" s="46"/>
      <c r="BC236" s="46"/>
      <c r="BD236" s="4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13.5" customHeight="1">
      <c r="A237" s="39"/>
      <c r="B237" s="56" t="s">
        <v>9</v>
      </c>
      <c r="C237" s="57" t="s">
        <v>417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418</v>
      </c>
      <c r="W237" s="58"/>
      <c r="X237" s="58"/>
      <c r="Y237" s="25" t="s">
        <v>71</v>
      </c>
      <c r="Z237" s="25"/>
      <c r="AA237" s="25"/>
      <c r="AB237" s="25"/>
      <c r="AC237" s="25" t="s">
        <v>71</v>
      </c>
      <c r="AD237" s="25"/>
      <c r="AE237" s="25"/>
      <c r="AF237" s="25" t="s">
        <v>71</v>
      </c>
      <c r="AG237" s="25"/>
      <c r="AH237" s="25"/>
      <c r="AI237" s="25" t="s">
        <v>71</v>
      </c>
      <c r="AJ237" s="25"/>
      <c r="AK237" s="25" t="s">
        <v>71</v>
      </c>
      <c r="AL237" s="25"/>
      <c r="AM237" s="25"/>
      <c r="AN237" s="25"/>
      <c r="AO237" s="25" t="s">
        <v>71</v>
      </c>
      <c r="AP237" s="25"/>
      <c r="AQ237" s="25"/>
      <c r="AR237" s="25" t="s">
        <v>71</v>
      </c>
      <c r="AS237" s="25"/>
      <c r="AT237" s="25"/>
      <c r="AU237" s="25" t="s">
        <v>71</v>
      </c>
      <c r="AV237" s="25"/>
      <c r="AW237" s="25"/>
      <c r="AX237" s="25" t="s">
        <v>71</v>
      </c>
      <c r="AY237" s="25"/>
      <c r="AZ237" s="46" t="s">
        <v>71</v>
      </c>
      <c r="BA237" s="46"/>
      <c r="BB237" s="46"/>
      <c r="BC237" s="46"/>
      <c r="BD237" s="4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56" t="s">
        <v>9</v>
      </c>
      <c r="C238" s="57" t="s">
        <v>223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419</v>
      </c>
      <c r="W238" s="58"/>
      <c r="X238" s="58"/>
      <c r="Y238" s="25" t="s">
        <v>71</v>
      </c>
      <c r="Z238" s="25"/>
      <c r="AA238" s="25"/>
      <c r="AB238" s="25"/>
      <c r="AC238" s="25" t="s">
        <v>71</v>
      </c>
      <c r="AD238" s="25"/>
      <c r="AE238" s="25"/>
      <c r="AF238" s="25" t="s">
        <v>71</v>
      </c>
      <c r="AG238" s="25"/>
      <c r="AH238" s="25"/>
      <c r="AI238" s="25" t="s">
        <v>71</v>
      </c>
      <c r="AJ238" s="25"/>
      <c r="AK238" s="25" t="s">
        <v>71</v>
      </c>
      <c r="AL238" s="25"/>
      <c r="AM238" s="25"/>
      <c r="AN238" s="25"/>
      <c r="AO238" s="25" t="s">
        <v>71</v>
      </c>
      <c r="AP238" s="25"/>
      <c r="AQ238" s="25"/>
      <c r="AR238" s="25" t="s">
        <v>71</v>
      </c>
      <c r="AS238" s="25"/>
      <c r="AT238" s="25"/>
      <c r="AU238" s="25" t="s">
        <v>71</v>
      </c>
      <c r="AV238" s="25"/>
      <c r="AW238" s="25"/>
      <c r="AX238" s="25" t="s">
        <v>71</v>
      </c>
      <c r="AY238" s="25"/>
      <c r="AZ238" s="46" t="s">
        <v>71</v>
      </c>
      <c r="BA238" s="46"/>
      <c r="BB238" s="46"/>
      <c r="BC238" s="46"/>
      <c r="BD238" s="4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56" t="s">
        <v>9</v>
      </c>
      <c r="C239" s="57" t="s">
        <v>420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421</v>
      </c>
      <c r="W239" s="58"/>
      <c r="X239" s="58"/>
      <c r="Y239" s="25" t="s">
        <v>71</v>
      </c>
      <c r="Z239" s="25"/>
      <c r="AA239" s="25"/>
      <c r="AB239" s="25"/>
      <c r="AC239" s="25" t="s">
        <v>71</v>
      </c>
      <c r="AD239" s="25"/>
      <c r="AE239" s="25"/>
      <c r="AF239" s="25" t="s">
        <v>71</v>
      </c>
      <c r="AG239" s="25"/>
      <c r="AH239" s="25"/>
      <c r="AI239" s="25" t="s">
        <v>71</v>
      </c>
      <c r="AJ239" s="25"/>
      <c r="AK239" s="25" t="s">
        <v>71</v>
      </c>
      <c r="AL239" s="25"/>
      <c r="AM239" s="25"/>
      <c r="AN239" s="25"/>
      <c r="AO239" s="25" t="s">
        <v>71</v>
      </c>
      <c r="AP239" s="25"/>
      <c r="AQ239" s="25"/>
      <c r="AR239" s="25" t="s">
        <v>71</v>
      </c>
      <c r="AS239" s="25"/>
      <c r="AT239" s="25"/>
      <c r="AU239" s="25" t="s">
        <v>71</v>
      </c>
      <c r="AV239" s="25"/>
      <c r="AW239" s="25"/>
      <c r="AX239" s="25" t="s">
        <v>71</v>
      </c>
      <c r="AY239" s="25"/>
      <c r="AZ239" s="46" t="s">
        <v>71</v>
      </c>
      <c r="BA239" s="46"/>
      <c r="BB239" s="46"/>
      <c r="BC239" s="46"/>
      <c r="BD239" s="4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24" customHeight="1">
      <c r="A240" s="39"/>
      <c r="B240" s="56" t="s">
        <v>9</v>
      </c>
      <c r="C240" s="57" t="s">
        <v>422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423</v>
      </c>
      <c r="W240" s="58"/>
      <c r="X240" s="58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24" customHeight="1">
      <c r="A241" s="39"/>
      <c r="B241" s="56" t="s">
        <v>9</v>
      </c>
      <c r="C241" s="57" t="s">
        <v>424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425</v>
      </c>
      <c r="W241" s="58"/>
      <c r="X241" s="58"/>
      <c r="Y241" s="25" t="s">
        <v>71</v>
      </c>
      <c r="Z241" s="25"/>
      <c r="AA241" s="25"/>
      <c r="AB241" s="25"/>
      <c r="AC241" s="25" t="s">
        <v>71</v>
      </c>
      <c r="AD241" s="25"/>
      <c r="AE241" s="25"/>
      <c r="AF241" s="25" t="s">
        <v>71</v>
      </c>
      <c r="AG241" s="25"/>
      <c r="AH241" s="25"/>
      <c r="AI241" s="25" t="s">
        <v>71</v>
      </c>
      <c r="AJ241" s="25"/>
      <c r="AK241" s="25" t="s">
        <v>71</v>
      </c>
      <c r="AL241" s="25"/>
      <c r="AM241" s="25"/>
      <c r="AN241" s="25"/>
      <c r="AO241" s="25" t="s">
        <v>71</v>
      </c>
      <c r="AP241" s="25"/>
      <c r="AQ241" s="25"/>
      <c r="AR241" s="25" t="s">
        <v>71</v>
      </c>
      <c r="AS241" s="25"/>
      <c r="AT241" s="25"/>
      <c r="AU241" s="25" t="s">
        <v>71</v>
      </c>
      <c r="AV241" s="25"/>
      <c r="AW241" s="25"/>
      <c r="AX241" s="25" t="s">
        <v>71</v>
      </c>
      <c r="AY241" s="25"/>
      <c r="AZ241" s="46" t="s">
        <v>71</v>
      </c>
      <c r="BA241" s="46"/>
      <c r="BB241" s="46"/>
      <c r="BC241" s="46"/>
      <c r="BD241" s="4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13.5" customHeight="1">
      <c r="A242" s="39"/>
      <c r="B242" s="56" t="s">
        <v>9</v>
      </c>
      <c r="C242" s="57" t="s">
        <v>426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427</v>
      </c>
      <c r="W242" s="58"/>
      <c r="X242" s="58"/>
      <c r="Y242" s="25" t="s">
        <v>71</v>
      </c>
      <c r="Z242" s="25"/>
      <c r="AA242" s="25"/>
      <c r="AB242" s="25"/>
      <c r="AC242" s="25" t="s">
        <v>71</v>
      </c>
      <c r="AD242" s="25"/>
      <c r="AE242" s="25"/>
      <c r="AF242" s="25" t="s">
        <v>71</v>
      </c>
      <c r="AG242" s="25"/>
      <c r="AH242" s="25"/>
      <c r="AI242" s="25" t="s">
        <v>71</v>
      </c>
      <c r="AJ242" s="25"/>
      <c r="AK242" s="25" t="s">
        <v>71</v>
      </c>
      <c r="AL242" s="25"/>
      <c r="AM242" s="25"/>
      <c r="AN242" s="25"/>
      <c r="AO242" s="25" t="s">
        <v>71</v>
      </c>
      <c r="AP242" s="25"/>
      <c r="AQ242" s="25"/>
      <c r="AR242" s="25" t="s">
        <v>71</v>
      </c>
      <c r="AS242" s="25"/>
      <c r="AT242" s="25"/>
      <c r="AU242" s="25" t="s">
        <v>71</v>
      </c>
      <c r="AV242" s="25"/>
      <c r="AW242" s="25"/>
      <c r="AX242" s="25" t="s">
        <v>71</v>
      </c>
      <c r="AY242" s="25"/>
      <c r="AZ242" s="46" t="s">
        <v>71</v>
      </c>
      <c r="BA242" s="46"/>
      <c r="BB242" s="46"/>
      <c r="BC242" s="46"/>
      <c r="BD242" s="4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24" customHeight="1">
      <c r="A243" s="39"/>
      <c r="B243" s="56" t="s">
        <v>9</v>
      </c>
      <c r="C243" s="57" t="s">
        <v>428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429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24" customHeight="1">
      <c r="A244" s="39"/>
      <c r="B244" s="44" t="s">
        <v>430</v>
      </c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5" t="s">
        <v>431</v>
      </c>
      <c r="W244" s="45"/>
      <c r="X244" s="45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13.5" customHeight="1">
      <c r="A245" s="39"/>
      <c r="B245" s="47" t="s">
        <v>412</v>
      </c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8" t="s">
        <v>9</v>
      </c>
      <c r="W245" s="48"/>
      <c r="X245" s="48"/>
      <c r="Y245" s="49" t="s">
        <v>9</v>
      </c>
      <c r="Z245" s="49"/>
      <c r="AA245" s="49"/>
      <c r="AB245" s="49"/>
      <c r="AC245" s="49" t="s">
        <v>9</v>
      </c>
      <c r="AD245" s="49"/>
      <c r="AE245" s="49"/>
      <c r="AF245" s="49" t="s">
        <v>9</v>
      </c>
      <c r="AG245" s="49"/>
      <c r="AH245" s="49"/>
      <c r="AI245" s="49" t="s">
        <v>9</v>
      </c>
      <c r="AJ245" s="49"/>
      <c r="AK245" s="49" t="s">
        <v>9</v>
      </c>
      <c r="AL245" s="49"/>
      <c r="AM245" s="49"/>
      <c r="AN245" s="49"/>
      <c r="AO245" s="49" t="s">
        <v>9</v>
      </c>
      <c r="AP245" s="49"/>
      <c r="AQ245" s="49"/>
      <c r="AR245" s="49" t="s">
        <v>9</v>
      </c>
      <c r="AS245" s="49"/>
      <c r="AT245" s="49"/>
      <c r="AU245" s="49" t="s">
        <v>9</v>
      </c>
      <c r="AV245" s="49"/>
      <c r="AW245" s="49"/>
      <c r="AX245" s="49" t="s">
        <v>9</v>
      </c>
      <c r="AY245" s="49"/>
      <c r="AZ245" s="50" t="s">
        <v>9</v>
      </c>
      <c r="BA245" s="50"/>
      <c r="BB245" s="50"/>
      <c r="BC245" s="50"/>
      <c r="BD245" s="50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13.5" customHeight="1">
      <c r="A246" s="39"/>
      <c r="B246" s="51" t="s">
        <v>9</v>
      </c>
      <c r="C246" s="52" t="s">
        <v>413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3" t="s">
        <v>432</v>
      </c>
      <c r="W246" s="53"/>
      <c r="X246" s="53"/>
      <c r="Y246" s="54" t="s">
        <v>71</v>
      </c>
      <c r="Z246" s="54"/>
      <c r="AA246" s="54"/>
      <c r="AB246" s="54"/>
      <c r="AC246" s="54" t="s">
        <v>71</v>
      </c>
      <c r="AD246" s="54"/>
      <c r="AE246" s="54"/>
      <c r="AF246" s="54" t="s">
        <v>71</v>
      </c>
      <c r="AG246" s="54"/>
      <c r="AH246" s="54"/>
      <c r="AI246" s="54" t="s">
        <v>71</v>
      </c>
      <c r="AJ246" s="54"/>
      <c r="AK246" s="54" t="s">
        <v>71</v>
      </c>
      <c r="AL246" s="54"/>
      <c r="AM246" s="54"/>
      <c r="AN246" s="54"/>
      <c r="AO246" s="54" t="s">
        <v>71</v>
      </c>
      <c r="AP246" s="54"/>
      <c r="AQ246" s="54"/>
      <c r="AR246" s="54" t="s">
        <v>71</v>
      </c>
      <c r="AS246" s="54"/>
      <c r="AT246" s="54"/>
      <c r="AU246" s="54" t="s">
        <v>71</v>
      </c>
      <c r="AV246" s="54"/>
      <c r="AW246" s="54"/>
      <c r="AX246" s="54" t="s">
        <v>71</v>
      </c>
      <c r="AY246" s="54"/>
      <c r="AZ246" s="55" t="s">
        <v>71</v>
      </c>
      <c r="BA246" s="55"/>
      <c r="BB246" s="55"/>
      <c r="BC246" s="55"/>
      <c r="BD246" s="55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13.5" customHeight="1">
      <c r="A247" s="39"/>
      <c r="B247" s="56" t="s">
        <v>9</v>
      </c>
      <c r="C247" s="57" t="s">
        <v>415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8" t="s">
        <v>433</v>
      </c>
      <c r="W247" s="58"/>
      <c r="X247" s="58"/>
      <c r="Y247" s="25" t="s">
        <v>71</v>
      </c>
      <c r="Z247" s="25"/>
      <c r="AA247" s="25"/>
      <c r="AB247" s="25"/>
      <c r="AC247" s="25" t="s">
        <v>71</v>
      </c>
      <c r="AD247" s="25"/>
      <c r="AE247" s="25"/>
      <c r="AF247" s="25" t="s">
        <v>71</v>
      </c>
      <c r="AG247" s="25"/>
      <c r="AH247" s="25"/>
      <c r="AI247" s="25" t="s">
        <v>71</v>
      </c>
      <c r="AJ247" s="25"/>
      <c r="AK247" s="25" t="s">
        <v>71</v>
      </c>
      <c r="AL247" s="25"/>
      <c r="AM247" s="25"/>
      <c r="AN247" s="25"/>
      <c r="AO247" s="25" t="s">
        <v>71</v>
      </c>
      <c r="AP247" s="25"/>
      <c r="AQ247" s="25"/>
      <c r="AR247" s="25" t="s">
        <v>71</v>
      </c>
      <c r="AS247" s="25"/>
      <c r="AT247" s="25"/>
      <c r="AU247" s="25" t="s">
        <v>71</v>
      </c>
      <c r="AV247" s="25"/>
      <c r="AW247" s="25"/>
      <c r="AX247" s="25" t="s">
        <v>71</v>
      </c>
      <c r="AY247" s="25"/>
      <c r="AZ247" s="46" t="s">
        <v>71</v>
      </c>
      <c r="BA247" s="46"/>
      <c r="BB247" s="46"/>
      <c r="BC247" s="46"/>
      <c r="BD247" s="4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56" t="s">
        <v>9</v>
      </c>
      <c r="C248" s="57" t="s">
        <v>417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434</v>
      </c>
      <c r="W248" s="58"/>
      <c r="X248" s="58"/>
      <c r="Y248" s="25" t="s">
        <v>71</v>
      </c>
      <c r="Z248" s="25"/>
      <c r="AA248" s="25"/>
      <c r="AB248" s="25"/>
      <c r="AC248" s="25" t="s">
        <v>71</v>
      </c>
      <c r="AD248" s="25"/>
      <c r="AE248" s="25"/>
      <c r="AF248" s="25" t="s">
        <v>71</v>
      </c>
      <c r="AG248" s="25"/>
      <c r="AH248" s="25"/>
      <c r="AI248" s="25" t="s">
        <v>71</v>
      </c>
      <c r="AJ248" s="25"/>
      <c r="AK248" s="25" t="s">
        <v>71</v>
      </c>
      <c r="AL248" s="25"/>
      <c r="AM248" s="25"/>
      <c r="AN248" s="25"/>
      <c r="AO248" s="25" t="s">
        <v>71</v>
      </c>
      <c r="AP248" s="25"/>
      <c r="AQ248" s="25"/>
      <c r="AR248" s="25" t="s">
        <v>71</v>
      </c>
      <c r="AS248" s="25"/>
      <c r="AT248" s="25"/>
      <c r="AU248" s="25" t="s">
        <v>71</v>
      </c>
      <c r="AV248" s="25"/>
      <c r="AW248" s="25"/>
      <c r="AX248" s="25" t="s">
        <v>71</v>
      </c>
      <c r="AY248" s="25"/>
      <c r="AZ248" s="46" t="s">
        <v>71</v>
      </c>
      <c r="BA248" s="46"/>
      <c r="BB248" s="46"/>
      <c r="BC248" s="46"/>
      <c r="BD248" s="4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223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435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420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436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24" customHeight="1">
      <c r="A251" s="39"/>
      <c r="B251" s="56" t="s">
        <v>9</v>
      </c>
      <c r="C251" s="57" t="s">
        <v>422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437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24" customHeight="1">
      <c r="A252" s="39"/>
      <c r="B252" s="56" t="s">
        <v>9</v>
      </c>
      <c r="C252" s="57" t="s">
        <v>424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438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13.5" customHeight="1">
      <c r="A253" s="39"/>
      <c r="B253" s="56" t="s">
        <v>9</v>
      </c>
      <c r="C253" s="57" t="s">
        <v>426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439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24" customHeight="1">
      <c r="A254" s="39"/>
      <c r="B254" s="56" t="s">
        <v>9</v>
      </c>
      <c r="C254" s="57" t="s">
        <v>428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440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44" t="s">
        <v>441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5" t="s">
        <v>442</v>
      </c>
      <c r="W255" s="45"/>
      <c r="X255" s="45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47" t="s">
        <v>412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8" t="s">
        <v>9</v>
      </c>
      <c r="W256" s="48"/>
      <c r="X256" s="48"/>
      <c r="Y256" s="49" t="s">
        <v>9</v>
      </c>
      <c r="Z256" s="49"/>
      <c r="AA256" s="49"/>
      <c r="AB256" s="49"/>
      <c r="AC256" s="49" t="s">
        <v>9</v>
      </c>
      <c r="AD256" s="49"/>
      <c r="AE256" s="49"/>
      <c r="AF256" s="49" t="s">
        <v>9</v>
      </c>
      <c r="AG256" s="49"/>
      <c r="AH256" s="49"/>
      <c r="AI256" s="49" t="s">
        <v>9</v>
      </c>
      <c r="AJ256" s="49"/>
      <c r="AK256" s="49" t="s">
        <v>9</v>
      </c>
      <c r="AL256" s="49"/>
      <c r="AM256" s="49"/>
      <c r="AN256" s="49"/>
      <c r="AO256" s="49" t="s">
        <v>9</v>
      </c>
      <c r="AP256" s="49"/>
      <c r="AQ256" s="49"/>
      <c r="AR256" s="49" t="s">
        <v>9</v>
      </c>
      <c r="AS256" s="49"/>
      <c r="AT256" s="49"/>
      <c r="AU256" s="49" t="s">
        <v>9</v>
      </c>
      <c r="AV256" s="49"/>
      <c r="AW256" s="49"/>
      <c r="AX256" s="49" t="s">
        <v>9</v>
      </c>
      <c r="AY256" s="49"/>
      <c r="AZ256" s="50" t="s">
        <v>9</v>
      </c>
      <c r="BA256" s="50"/>
      <c r="BB256" s="50"/>
      <c r="BC256" s="50"/>
      <c r="BD256" s="50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51" t="s">
        <v>9</v>
      </c>
      <c r="C257" s="52" t="s">
        <v>413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3" t="s">
        <v>443</v>
      </c>
      <c r="W257" s="53"/>
      <c r="X257" s="53"/>
      <c r="Y257" s="54" t="s">
        <v>71</v>
      </c>
      <c r="Z257" s="54"/>
      <c r="AA257" s="54"/>
      <c r="AB257" s="54"/>
      <c r="AC257" s="54" t="s">
        <v>71</v>
      </c>
      <c r="AD257" s="54"/>
      <c r="AE257" s="54"/>
      <c r="AF257" s="54" t="s">
        <v>71</v>
      </c>
      <c r="AG257" s="54"/>
      <c r="AH257" s="54"/>
      <c r="AI257" s="54" t="s">
        <v>71</v>
      </c>
      <c r="AJ257" s="54"/>
      <c r="AK257" s="54" t="s">
        <v>71</v>
      </c>
      <c r="AL257" s="54"/>
      <c r="AM257" s="54"/>
      <c r="AN257" s="54"/>
      <c r="AO257" s="54" t="s">
        <v>71</v>
      </c>
      <c r="AP257" s="54"/>
      <c r="AQ257" s="54"/>
      <c r="AR257" s="54" t="s">
        <v>71</v>
      </c>
      <c r="AS257" s="54"/>
      <c r="AT257" s="54"/>
      <c r="AU257" s="54" t="s">
        <v>71</v>
      </c>
      <c r="AV257" s="54"/>
      <c r="AW257" s="54"/>
      <c r="AX257" s="54" t="s">
        <v>71</v>
      </c>
      <c r="AY257" s="54"/>
      <c r="AZ257" s="55" t="s">
        <v>71</v>
      </c>
      <c r="BA257" s="55"/>
      <c r="BB257" s="55"/>
      <c r="BC257" s="55"/>
      <c r="BD257" s="55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56" t="s">
        <v>9</v>
      </c>
      <c r="C258" s="57" t="s">
        <v>415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444</v>
      </c>
      <c r="W258" s="58"/>
      <c r="X258" s="58"/>
      <c r="Y258" s="25" t="s">
        <v>71</v>
      </c>
      <c r="Z258" s="25"/>
      <c r="AA258" s="25"/>
      <c r="AB258" s="25"/>
      <c r="AC258" s="25" t="s">
        <v>71</v>
      </c>
      <c r="AD258" s="25"/>
      <c r="AE258" s="25"/>
      <c r="AF258" s="25" t="s">
        <v>71</v>
      </c>
      <c r="AG258" s="25"/>
      <c r="AH258" s="25"/>
      <c r="AI258" s="25" t="s">
        <v>71</v>
      </c>
      <c r="AJ258" s="25"/>
      <c r="AK258" s="25" t="s">
        <v>71</v>
      </c>
      <c r="AL258" s="25"/>
      <c r="AM258" s="25"/>
      <c r="AN258" s="25"/>
      <c r="AO258" s="25" t="s">
        <v>71</v>
      </c>
      <c r="AP258" s="25"/>
      <c r="AQ258" s="25"/>
      <c r="AR258" s="25" t="s">
        <v>71</v>
      </c>
      <c r="AS258" s="25"/>
      <c r="AT258" s="25"/>
      <c r="AU258" s="25" t="s">
        <v>71</v>
      </c>
      <c r="AV258" s="25"/>
      <c r="AW258" s="25"/>
      <c r="AX258" s="25" t="s">
        <v>71</v>
      </c>
      <c r="AY258" s="25"/>
      <c r="AZ258" s="46" t="s">
        <v>71</v>
      </c>
      <c r="BA258" s="46"/>
      <c r="BB258" s="46"/>
      <c r="BC258" s="46"/>
      <c r="BD258" s="4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56" t="s">
        <v>9</v>
      </c>
      <c r="C259" s="57" t="s">
        <v>417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445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223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446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420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447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24" customHeight="1">
      <c r="A262" s="39"/>
      <c r="B262" s="56" t="s">
        <v>9</v>
      </c>
      <c r="C262" s="57" t="s">
        <v>422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448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24" customHeight="1">
      <c r="A263" s="39"/>
      <c r="B263" s="56" t="s">
        <v>9</v>
      </c>
      <c r="C263" s="57" t="s">
        <v>424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449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13.5" customHeight="1">
      <c r="A264" s="39"/>
      <c r="B264" s="56" t="s">
        <v>9</v>
      </c>
      <c r="C264" s="57" t="s">
        <v>426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450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24" customHeight="1">
      <c r="A265" s="39"/>
      <c r="B265" s="56" t="s">
        <v>9</v>
      </c>
      <c r="C265" s="57" t="s">
        <v>428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451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44" t="s">
        <v>452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5" t="s">
        <v>453</v>
      </c>
      <c r="W266" s="45"/>
      <c r="X266" s="45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47" t="s">
        <v>412</v>
      </c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8" t="s">
        <v>9</v>
      </c>
      <c r="W267" s="48"/>
      <c r="X267" s="48"/>
      <c r="Y267" s="49" t="s">
        <v>9</v>
      </c>
      <c r="Z267" s="49"/>
      <c r="AA267" s="49"/>
      <c r="AB267" s="49"/>
      <c r="AC267" s="49" t="s">
        <v>9</v>
      </c>
      <c r="AD267" s="49"/>
      <c r="AE267" s="49"/>
      <c r="AF267" s="49" t="s">
        <v>9</v>
      </c>
      <c r="AG267" s="49"/>
      <c r="AH267" s="49"/>
      <c r="AI267" s="49" t="s">
        <v>9</v>
      </c>
      <c r="AJ267" s="49"/>
      <c r="AK267" s="49" t="s">
        <v>9</v>
      </c>
      <c r="AL267" s="49"/>
      <c r="AM267" s="49"/>
      <c r="AN267" s="49"/>
      <c r="AO267" s="49" t="s">
        <v>9</v>
      </c>
      <c r="AP267" s="49"/>
      <c r="AQ267" s="49"/>
      <c r="AR267" s="49" t="s">
        <v>9</v>
      </c>
      <c r="AS267" s="49"/>
      <c r="AT267" s="49"/>
      <c r="AU267" s="49" t="s">
        <v>9</v>
      </c>
      <c r="AV267" s="49"/>
      <c r="AW267" s="49"/>
      <c r="AX267" s="49" t="s">
        <v>9</v>
      </c>
      <c r="AY267" s="49"/>
      <c r="AZ267" s="50" t="s">
        <v>9</v>
      </c>
      <c r="BA267" s="50"/>
      <c r="BB267" s="50"/>
      <c r="BC267" s="50"/>
      <c r="BD267" s="50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51" t="s">
        <v>9</v>
      </c>
      <c r="C268" s="52" t="s">
        <v>413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3" t="s">
        <v>454</v>
      </c>
      <c r="W268" s="53"/>
      <c r="X268" s="53"/>
      <c r="Y268" s="54" t="s">
        <v>71</v>
      </c>
      <c r="Z268" s="54"/>
      <c r="AA268" s="54"/>
      <c r="AB268" s="54"/>
      <c r="AC268" s="54" t="s">
        <v>71</v>
      </c>
      <c r="AD268" s="54"/>
      <c r="AE268" s="54"/>
      <c r="AF268" s="54" t="s">
        <v>71</v>
      </c>
      <c r="AG268" s="54"/>
      <c r="AH268" s="54"/>
      <c r="AI268" s="54" t="s">
        <v>71</v>
      </c>
      <c r="AJ268" s="54"/>
      <c r="AK268" s="54" t="s">
        <v>71</v>
      </c>
      <c r="AL268" s="54"/>
      <c r="AM268" s="54"/>
      <c r="AN268" s="54"/>
      <c r="AO268" s="54" t="s">
        <v>71</v>
      </c>
      <c r="AP268" s="54"/>
      <c r="AQ268" s="54"/>
      <c r="AR268" s="54" t="s">
        <v>71</v>
      </c>
      <c r="AS268" s="54"/>
      <c r="AT268" s="54"/>
      <c r="AU268" s="54" t="s">
        <v>71</v>
      </c>
      <c r="AV268" s="54"/>
      <c r="AW268" s="54"/>
      <c r="AX268" s="54" t="s">
        <v>71</v>
      </c>
      <c r="AY268" s="54"/>
      <c r="AZ268" s="55" t="s">
        <v>71</v>
      </c>
      <c r="BA268" s="55"/>
      <c r="BB268" s="55"/>
      <c r="BC268" s="55"/>
      <c r="BD268" s="55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56" t="s">
        <v>9</v>
      </c>
      <c r="C269" s="57" t="s">
        <v>415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455</v>
      </c>
      <c r="W269" s="58"/>
      <c r="X269" s="58"/>
      <c r="Y269" s="25" t="s">
        <v>71</v>
      </c>
      <c r="Z269" s="25"/>
      <c r="AA269" s="25"/>
      <c r="AB269" s="25"/>
      <c r="AC269" s="25" t="s">
        <v>71</v>
      </c>
      <c r="AD269" s="25"/>
      <c r="AE269" s="25"/>
      <c r="AF269" s="25" t="s">
        <v>71</v>
      </c>
      <c r="AG269" s="25"/>
      <c r="AH269" s="25"/>
      <c r="AI269" s="25" t="s">
        <v>71</v>
      </c>
      <c r="AJ269" s="25"/>
      <c r="AK269" s="25" t="s">
        <v>71</v>
      </c>
      <c r="AL269" s="25"/>
      <c r="AM269" s="25"/>
      <c r="AN269" s="25"/>
      <c r="AO269" s="25" t="s">
        <v>71</v>
      </c>
      <c r="AP269" s="25"/>
      <c r="AQ269" s="25"/>
      <c r="AR269" s="25" t="s">
        <v>71</v>
      </c>
      <c r="AS269" s="25"/>
      <c r="AT269" s="25"/>
      <c r="AU269" s="25" t="s">
        <v>71</v>
      </c>
      <c r="AV269" s="25"/>
      <c r="AW269" s="25"/>
      <c r="AX269" s="25" t="s">
        <v>71</v>
      </c>
      <c r="AY269" s="25"/>
      <c r="AZ269" s="46" t="s">
        <v>71</v>
      </c>
      <c r="BA269" s="46"/>
      <c r="BB269" s="46"/>
      <c r="BC269" s="46"/>
      <c r="BD269" s="4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56" t="s">
        <v>9</v>
      </c>
      <c r="C270" s="57" t="s">
        <v>417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456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223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457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420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458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24" customHeight="1">
      <c r="A273" s="39"/>
      <c r="B273" s="56" t="s">
        <v>9</v>
      </c>
      <c r="C273" s="57" t="s">
        <v>422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459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24" customHeight="1">
      <c r="A274" s="39"/>
      <c r="B274" s="56" t="s">
        <v>9</v>
      </c>
      <c r="C274" s="57" t="s">
        <v>424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460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13.5" customHeight="1">
      <c r="A275" s="39"/>
      <c r="B275" s="56" t="s">
        <v>9</v>
      </c>
      <c r="C275" s="57" t="s">
        <v>426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461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24" customHeight="1">
      <c r="A276" s="39"/>
      <c r="B276" s="56" t="s">
        <v>9</v>
      </c>
      <c r="C276" s="57" t="s">
        <v>428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462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24" customHeight="1">
      <c r="A277" s="39"/>
      <c r="B277" s="44" t="s">
        <v>463</v>
      </c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5" t="s">
        <v>464</v>
      </c>
      <c r="W277" s="45"/>
      <c r="X277" s="45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13.5" customHeight="1">
      <c r="A278" s="39"/>
      <c r="B278" s="47" t="s">
        <v>412</v>
      </c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 t="s">
        <v>9</v>
      </c>
      <c r="W278" s="48"/>
      <c r="X278" s="48"/>
      <c r="Y278" s="49" t="s">
        <v>9</v>
      </c>
      <c r="Z278" s="49"/>
      <c r="AA278" s="49"/>
      <c r="AB278" s="49"/>
      <c r="AC278" s="49" t="s">
        <v>9</v>
      </c>
      <c r="AD278" s="49"/>
      <c r="AE278" s="49"/>
      <c r="AF278" s="49" t="s">
        <v>9</v>
      </c>
      <c r="AG278" s="49"/>
      <c r="AH278" s="49"/>
      <c r="AI278" s="49" t="s">
        <v>9</v>
      </c>
      <c r="AJ278" s="49"/>
      <c r="AK278" s="49" t="s">
        <v>9</v>
      </c>
      <c r="AL278" s="49"/>
      <c r="AM278" s="49"/>
      <c r="AN278" s="49"/>
      <c r="AO278" s="49" t="s">
        <v>9</v>
      </c>
      <c r="AP278" s="49"/>
      <c r="AQ278" s="49"/>
      <c r="AR278" s="49" t="s">
        <v>9</v>
      </c>
      <c r="AS278" s="49"/>
      <c r="AT278" s="49"/>
      <c r="AU278" s="49" t="s">
        <v>9</v>
      </c>
      <c r="AV278" s="49"/>
      <c r="AW278" s="49"/>
      <c r="AX278" s="49" t="s">
        <v>9</v>
      </c>
      <c r="AY278" s="49"/>
      <c r="AZ278" s="50" t="s">
        <v>9</v>
      </c>
      <c r="BA278" s="50"/>
      <c r="BB278" s="50"/>
      <c r="BC278" s="50"/>
      <c r="BD278" s="50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51" t="s">
        <v>9</v>
      </c>
      <c r="C279" s="52" t="s">
        <v>413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3" t="s">
        <v>465</v>
      </c>
      <c r="W279" s="53"/>
      <c r="X279" s="53"/>
      <c r="Y279" s="54" t="s">
        <v>71</v>
      </c>
      <c r="Z279" s="54"/>
      <c r="AA279" s="54"/>
      <c r="AB279" s="54"/>
      <c r="AC279" s="54" t="s">
        <v>71</v>
      </c>
      <c r="AD279" s="54"/>
      <c r="AE279" s="54"/>
      <c r="AF279" s="54" t="s">
        <v>71</v>
      </c>
      <c r="AG279" s="54"/>
      <c r="AH279" s="54"/>
      <c r="AI279" s="54" t="s">
        <v>71</v>
      </c>
      <c r="AJ279" s="54"/>
      <c r="AK279" s="54" t="s">
        <v>71</v>
      </c>
      <c r="AL279" s="54"/>
      <c r="AM279" s="54"/>
      <c r="AN279" s="54"/>
      <c r="AO279" s="54" t="s">
        <v>71</v>
      </c>
      <c r="AP279" s="54"/>
      <c r="AQ279" s="54"/>
      <c r="AR279" s="54" t="s">
        <v>71</v>
      </c>
      <c r="AS279" s="54"/>
      <c r="AT279" s="54"/>
      <c r="AU279" s="54" t="s">
        <v>71</v>
      </c>
      <c r="AV279" s="54"/>
      <c r="AW279" s="54"/>
      <c r="AX279" s="54" t="s">
        <v>71</v>
      </c>
      <c r="AY279" s="54"/>
      <c r="AZ279" s="55" t="s">
        <v>71</v>
      </c>
      <c r="BA279" s="55"/>
      <c r="BB279" s="55"/>
      <c r="BC279" s="55"/>
      <c r="BD279" s="55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13.5" customHeight="1">
      <c r="A280" s="39"/>
      <c r="B280" s="56" t="s">
        <v>9</v>
      </c>
      <c r="C280" s="57" t="s">
        <v>415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466</v>
      </c>
      <c r="W280" s="58"/>
      <c r="X280" s="58"/>
      <c r="Y280" s="25" t="s">
        <v>71</v>
      </c>
      <c r="Z280" s="25"/>
      <c r="AA280" s="25"/>
      <c r="AB280" s="25"/>
      <c r="AC280" s="25" t="s">
        <v>71</v>
      </c>
      <c r="AD280" s="25"/>
      <c r="AE280" s="25"/>
      <c r="AF280" s="25" t="s">
        <v>71</v>
      </c>
      <c r="AG280" s="25"/>
      <c r="AH280" s="25"/>
      <c r="AI280" s="25" t="s">
        <v>71</v>
      </c>
      <c r="AJ280" s="25"/>
      <c r="AK280" s="25" t="s">
        <v>71</v>
      </c>
      <c r="AL280" s="25"/>
      <c r="AM280" s="25"/>
      <c r="AN280" s="25"/>
      <c r="AO280" s="25" t="s">
        <v>71</v>
      </c>
      <c r="AP280" s="25"/>
      <c r="AQ280" s="25"/>
      <c r="AR280" s="25" t="s">
        <v>71</v>
      </c>
      <c r="AS280" s="25"/>
      <c r="AT280" s="25"/>
      <c r="AU280" s="25" t="s">
        <v>71</v>
      </c>
      <c r="AV280" s="25"/>
      <c r="AW280" s="25"/>
      <c r="AX280" s="25" t="s">
        <v>71</v>
      </c>
      <c r="AY280" s="25"/>
      <c r="AZ280" s="46" t="s">
        <v>71</v>
      </c>
      <c r="BA280" s="46"/>
      <c r="BB280" s="46"/>
      <c r="BC280" s="46"/>
      <c r="BD280" s="4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56" t="s">
        <v>9</v>
      </c>
      <c r="C281" s="57" t="s">
        <v>417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467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223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468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420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469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24" customHeight="1">
      <c r="A284" s="39"/>
      <c r="B284" s="56" t="s">
        <v>9</v>
      </c>
      <c r="C284" s="57" t="s">
        <v>422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470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24" customHeight="1">
      <c r="A285" s="39"/>
      <c r="B285" s="56" t="s">
        <v>9</v>
      </c>
      <c r="C285" s="57" t="s">
        <v>424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471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13.5" customHeight="1">
      <c r="A286" s="39"/>
      <c r="B286" s="56" t="s">
        <v>9</v>
      </c>
      <c r="C286" s="57" t="s">
        <v>426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472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24" customHeight="1">
      <c r="A287" s="39"/>
      <c r="B287" s="56" t="s">
        <v>9</v>
      </c>
      <c r="C287" s="57" t="s">
        <v>428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473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44" t="s">
        <v>474</v>
      </c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5" t="s">
        <v>475</v>
      </c>
      <c r="W288" s="45"/>
      <c r="X288" s="45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47" t="s">
        <v>412</v>
      </c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8" t="s">
        <v>9</v>
      </c>
      <c r="W289" s="48"/>
      <c r="X289" s="48"/>
      <c r="Y289" s="49" t="s">
        <v>9</v>
      </c>
      <c r="Z289" s="49"/>
      <c r="AA289" s="49"/>
      <c r="AB289" s="49"/>
      <c r="AC289" s="49" t="s">
        <v>9</v>
      </c>
      <c r="AD289" s="49"/>
      <c r="AE289" s="49"/>
      <c r="AF289" s="49" t="s">
        <v>9</v>
      </c>
      <c r="AG289" s="49"/>
      <c r="AH289" s="49"/>
      <c r="AI289" s="49" t="s">
        <v>9</v>
      </c>
      <c r="AJ289" s="49"/>
      <c r="AK289" s="49" t="s">
        <v>9</v>
      </c>
      <c r="AL289" s="49"/>
      <c r="AM289" s="49"/>
      <c r="AN289" s="49"/>
      <c r="AO289" s="49" t="s">
        <v>9</v>
      </c>
      <c r="AP289" s="49"/>
      <c r="AQ289" s="49"/>
      <c r="AR289" s="49" t="s">
        <v>9</v>
      </c>
      <c r="AS289" s="49"/>
      <c r="AT289" s="49"/>
      <c r="AU289" s="49" t="s">
        <v>9</v>
      </c>
      <c r="AV289" s="49"/>
      <c r="AW289" s="49"/>
      <c r="AX289" s="49" t="s">
        <v>9</v>
      </c>
      <c r="AY289" s="49"/>
      <c r="AZ289" s="50" t="s">
        <v>9</v>
      </c>
      <c r="BA289" s="50"/>
      <c r="BB289" s="50"/>
      <c r="BC289" s="50"/>
      <c r="BD289" s="50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51" t="s">
        <v>9</v>
      </c>
      <c r="C290" s="52" t="s">
        <v>413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3" t="s">
        <v>476</v>
      </c>
      <c r="W290" s="53"/>
      <c r="X290" s="53"/>
      <c r="Y290" s="54" t="s">
        <v>71</v>
      </c>
      <c r="Z290" s="54"/>
      <c r="AA290" s="54"/>
      <c r="AB290" s="54"/>
      <c r="AC290" s="54" t="s">
        <v>71</v>
      </c>
      <c r="AD290" s="54"/>
      <c r="AE290" s="54"/>
      <c r="AF290" s="54" t="s">
        <v>71</v>
      </c>
      <c r="AG290" s="54"/>
      <c r="AH290" s="54"/>
      <c r="AI290" s="54" t="s">
        <v>71</v>
      </c>
      <c r="AJ290" s="54"/>
      <c r="AK290" s="54" t="s">
        <v>71</v>
      </c>
      <c r="AL290" s="54"/>
      <c r="AM290" s="54"/>
      <c r="AN290" s="54"/>
      <c r="AO290" s="54" t="s">
        <v>71</v>
      </c>
      <c r="AP290" s="54"/>
      <c r="AQ290" s="54"/>
      <c r="AR290" s="54" t="s">
        <v>71</v>
      </c>
      <c r="AS290" s="54"/>
      <c r="AT290" s="54"/>
      <c r="AU290" s="54" t="s">
        <v>71</v>
      </c>
      <c r="AV290" s="54"/>
      <c r="AW290" s="54"/>
      <c r="AX290" s="54" t="s">
        <v>71</v>
      </c>
      <c r="AY290" s="54"/>
      <c r="AZ290" s="55" t="s">
        <v>71</v>
      </c>
      <c r="BA290" s="55"/>
      <c r="BB290" s="55"/>
      <c r="BC290" s="55"/>
      <c r="BD290" s="55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56" t="s">
        <v>9</v>
      </c>
      <c r="C291" s="57" t="s">
        <v>415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477</v>
      </c>
      <c r="W291" s="58"/>
      <c r="X291" s="58"/>
      <c r="Y291" s="25" t="s">
        <v>71</v>
      </c>
      <c r="Z291" s="25"/>
      <c r="AA291" s="25"/>
      <c r="AB291" s="25"/>
      <c r="AC291" s="25" t="s">
        <v>71</v>
      </c>
      <c r="AD291" s="25"/>
      <c r="AE291" s="25"/>
      <c r="AF291" s="25" t="s">
        <v>71</v>
      </c>
      <c r="AG291" s="25"/>
      <c r="AH291" s="25"/>
      <c r="AI291" s="25" t="s">
        <v>71</v>
      </c>
      <c r="AJ291" s="25"/>
      <c r="AK291" s="25" t="s">
        <v>71</v>
      </c>
      <c r="AL291" s="25"/>
      <c r="AM291" s="25"/>
      <c r="AN291" s="25"/>
      <c r="AO291" s="25" t="s">
        <v>71</v>
      </c>
      <c r="AP291" s="25"/>
      <c r="AQ291" s="25"/>
      <c r="AR291" s="25" t="s">
        <v>71</v>
      </c>
      <c r="AS291" s="25"/>
      <c r="AT291" s="25"/>
      <c r="AU291" s="25" t="s">
        <v>71</v>
      </c>
      <c r="AV291" s="25"/>
      <c r="AW291" s="25"/>
      <c r="AX291" s="25" t="s">
        <v>71</v>
      </c>
      <c r="AY291" s="25"/>
      <c r="AZ291" s="46" t="s">
        <v>71</v>
      </c>
      <c r="BA291" s="46"/>
      <c r="BB291" s="46"/>
      <c r="BC291" s="46"/>
      <c r="BD291" s="4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56" t="s">
        <v>9</v>
      </c>
      <c r="C292" s="57" t="s">
        <v>417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478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223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479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420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480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24" customHeight="1">
      <c r="A295" s="39"/>
      <c r="B295" s="56" t="s">
        <v>9</v>
      </c>
      <c r="C295" s="57" t="s">
        <v>422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481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24" customHeight="1">
      <c r="A296" s="39"/>
      <c r="B296" s="56" t="s">
        <v>9</v>
      </c>
      <c r="C296" s="57" t="s">
        <v>424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482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13.5" customHeight="1">
      <c r="A297" s="39"/>
      <c r="B297" s="56" t="s">
        <v>9</v>
      </c>
      <c r="C297" s="57" t="s">
        <v>426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483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24" customHeight="1">
      <c r="A298" s="39"/>
      <c r="B298" s="56" t="s">
        <v>9</v>
      </c>
      <c r="C298" s="57" t="s">
        <v>428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484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44" t="s">
        <v>485</v>
      </c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5" t="s">
        <v>486</v>
      </c>
      <c r="W299" s="45"/>
      <c r="X299" s="45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47" t="s">
        <v>412</v>
      </c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8" t="s">
        <v>9</v>
      </c>
      <c r="W300" s="48"/>
      <c r="X300" s="48"/>
      <c r="Y300" s="49" t="s">
        <v>9</v>
      </c>
      <c r="Z300" s="49"/>
      <c r="AA300" s="49"/>
      <c r="AB300" s="49"/>
      <c r="AC300" s="49" t="s">
        <v>9</v>
      </c>
      <c r="AD300" s="49"/>
      <c r="AE300" s="49"/>
      <c r="AF300" s="49" t="s">
        <v>9</v>
      </c>
      <c r="AG300" s="49"/>
      <c r="AH300" s="49"/>
      <c r="AI300" s="49" t="s">
        <v>9</v>
      </c>
      <c r="AJ300" s="49"/>
      <c r="AK300" s="49" t="s">
        <v>9</v>
      </c>
      <c r="AL300" s="49"/>
      <c r="AM300" s="49"/>
      <c r="AN300" s="49"/>
      <c r="AO300" s="49" t="s">
        <v>9</v>
      </c>
      <c r="AP300" s="49"/>
      <c r="AQ300" s="49"/>
      <c r="AR300" s="49" t="s">
        <v>9</v>
      </c>
      <c r="AS300" s="49"/>
      <c r="AT300" s="49"/>
      <c r="AU300" s="49" t="s">
        <v>9</v>
      </c>
      <c r="AV300" s="49"/>
      <c r="AW300" s="49"/>
      <c r="AX300" s="49" t="s">
        <v>9</v>
      </c>
      <c r="AY300" s="49"/>
      <c r="AZ300" s="50" t="s">
        <v>9</v>
      </c>
      <c r="BA300" s="50"/>
      <c r="BB300" s="50"/>
      <c r="BC300" s="50"/>
      <c r="BD300" s="50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51" t="s">
        <v>9</v>
      </c>
      <c r="C301" s="52" t="s">
        <v>413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3" t="s">
        <v>487</v>
      </c>
      <c r="W301" s="53"/>
      <c r="X301" s="53"/>
      <c r="Y301" s="54" t="s">
        <v>71</v>
      </c>
      <c r="Z301" s="54"/>
      <c r="AA301" s="54"/>
      <c r="AB301" s="54"/>
      <c r="AC301" s="54" t="s">
        <v>71</v>
      </c>
      <c r="AD301" s="54"/>
      <c r="AE301" s="54"/>
      <c r="AF301" s="54" t="s">
        <v>71</v>
      </c>
      <c r="AG301" s="54"/>
      <c r="AH301" s="54"/>
      <c r="AI301" s="54" t="s">
        <v>71</v>
      </c>
      <c r="AJ301" s="54"/>
      <c r="AK301" s="54" t="s">
        <v>71</v>
      </c>
      <c r="AL301" s="54"/>
      <c r="AM301" s="54"/>
      <c r="AN301" s="54"/>
      <c r="AO301" s="54" t="s">
        <v>71</v>
      </c>
      <c r="AP301" s="54"/>
      <c r="AQ301" s="54"/>
      <c r="AR301" s="54" t="s">
        <v>71</v>
      </c>
      <c r="AS301" s="54"/>
      <c r="AT301" s="54"/>
      <c r="AU301" s="54" t="s">
        <v>71</v>
      </c>
      <c r="AV301" s="54"/>
      <c r="AW301" s="54"/>
      <c r="AX301" s="54" t="s">
        <v>71</v>
      </c>
      <c r="AY301" s="54"/>
      <c r="AZ301" s="55" t="s">
        <v>71</v>
      </c>
      <c r="BA301" s="55"/>
      <c r="BB301" s="55"/>
      <c r="BC301" s="55"/>
      <c r="BD301" s="55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56" t="s">
        <v>9</v>
      </c>
      <c r="C302" s="57" t="s">
        <v>415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488</v>
      </c>
      <c r="W302" s="58"/>
      <c r="X302" s="58"/>
      <c r="Y302" s="25" t="s">
        <v>71</v>
      </c>
      <c r="Z302" s="25"/>
      <c r="AA302" s="25"/>
      <c r="AB302" s="25"/>
      <c r="AC302" s="25" t="s">
        <v>71</v>
      </c>
      <c r="AD302" s="25"/>
      <c r="AE302" s="25"/>
      <c r="AF302" s="25" t="s">
        <v>71</v>
      </c>
      <c r="AG302" s="25"/>
      <c r="AH302" s="25"/>
      <c r="AI302" s="25" t="s">
        <v>71</v>
      </c>
      <c r="AJ302" s="25"/>
      <c r="AK302" s="25" t="s">
        <v>71</v>
      </c>
      <c r="AL302" s="25"/>
      <c r="AM302" s="25"/>
      <c r="AN302" s="25"/>
      <c r="AO302" s="25" t="s">
        <v>71</v>
      </c>
      <c r="AP302" s="25"/>
      <c r="AQ302" s="25"/>
      <c r="AR302" s="25" t="s">
        <v>71</v>
      </c>
      <c r="AS302" s="25"/>
      <c r="AT302" s="25"/>
      <c r="AU302" s="25" t="s">
        <v>71</v>
      </c>
      <c r="AV302" s="25"/>
      <c r="AW302" s="25"/>
      <c r="AX302" s="25" t="s">
        <v>71</v>
      </c>
      <c r="AY302" s="25"/>
      <c r="AZ302" s="46" t="s">
        <v>71</v>
      </c>
      <c r="BA302" s="46"/>
      <c r="BB302" s="46"/>
      <c r="BC302" s="46"/>
      <c r="BD302" s="4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56" t="s">
        <v>9</v>
      </c>
      <c r="C303" s="57" t="s">
        <v>417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489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223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490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420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491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24" customHeight="1">
      <c r="A306" s="39"/>
      <c r="B306" s="56" t="s">
        <v>9</v>
      </c>
      <c r="C306" s="57" t="s">
        <v>422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492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24" customHeight="1">
      <c r="A307" s="39"/>
      <c r="B307" s="56" t="s">
        <v>9</v>
      </c>
      <c r="C307" s="57" t="s">
        <v>424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493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13.5" customHeight="1">
      <c r="A308" s="39"/>
      <c r="B308" s="56" t="s">
        <v>9</v>
      </c>
      <c r="C308" s="57" t="s">
        <v>426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494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24" customHeight="1">
      <c r="A309" s="39"/>
      <c r="B309" s="56" t="s">
        <v>9</v>
      </c>
      <c r="C309" s="57" t="s">
        <v>428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495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44" t="s">
        <v>496</v>
      </c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5" t="s">
        <v>497</v>
      </c>
      <c r="W310" s="45"/>
      <c r="X310" s="45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4">
        <f>21666</f>
        <v>21666</v>
      </c>
      <c r="AP310" s="24"/>
      <c r="AQ310" s="24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59">
        <f>21666</f>
        <v>21666</v>
      </c>
      <c r="BA310" s="59"/>
      <c r="BB310" s="59"/>
      <c r="BC310" s="59"/>
      <c r="BD310" s="5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47" t="s">
        <v>412</v>
      </c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8" t="s">
        <v>9</v>
      </c>
      <c r="W311" s="48"/>
      <c r="X311" s="48"/>
      <c r="Y311" s="49" t="s">
        <v>9</v>
      </c>
      <c r="Z311" s="49"/>
      <c r="AA311" s="49"/>
      <c r="AB311" s="49"/>
      <c r="AC311" s="49" t="s">
        <v>9</v>
      </c>
      <c r="AD311" s="49"/>
      <c r="AE311" s="49"/>
      <c r="AF311" s="49" t="s">
        <v>9</v>
      </c>
      <c r="AG311" s="49"/>
      <c r="AH311" s="49"/>
      <c r="AI311" s="49" t="s">
        <v>9</v>
      </c>
      <c r="AJ311" s="49"/>
      <c r="AK311" s="49" t="s">
        <v>9</v>
      </c>
      <c r="AL311" s="49"/>
      <c r="AM311" s="49"/>
      <c r="AN311" s="49"/>
      <c r="AO311" s="49" t="s">
        <v>9</v>
      </c>
      <c r="AP311" s="49"/>
      <c r="AQ311" s="49"/>
      <c r="AR311" s="49" t="s">
        <v>9</v>
      </c>
      <c r="AS311" s="49"/>
      <c r="AT311" s="49"/>
      <c r="AU311" s="49" t="s">
        <v>9</v>
      </c>
      <c r="AV311" s="49"/>
      <c r="AW311" s="49"/>
      <c r="AX311" s="49" t="s">
        <v>9</v>
      </c>
      <c r="AY311" s="49"/>
      <c r="AZ311" s="50" t="s">
        <v>9</v>
      </c>
      <c r="BA311" s="50"/>
      <c r="BB311" s="50"/>
      <c r="BC311" s="50"/>
      <c r="BD311" s="50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51" t="s">
        <v>9</v>
      </c>
      <c r="C312" s="52" t="s">
        <v>413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3" t="s">
        <v>498</v>
      </c>
      <c r="W312" s="53"/>
      <c r="X312" s="53"/>
      <c r="Y312" s="54" t="s">
        <v>71</v>
      </c>
      <c r="Z312" s="54"/>
      <c r="AA312" s="54"/>
      <c r="AB312" s="54"/>
      <c r="AC312" s="54" t="s">
        <v>71</v>
      </c>
      <c r="AD312" s="54"/>
      <c r="AE312" s="54"/>
      <c r="AF312" s="54" t="s">
        <v>71</v>
      </c>
      <c r="AG312" s="54"/>
      <c r="AH312" s="54"/>
      <c r="AI312" s="54" t="s">
        <v>71</v>
      </c>
      <c r="AJ312" s="54"/>
      <c r="AK312" s="54" t="s">
        <v>71</v>
      </c>
      <c r="AL312" s="54"/>
      <c r="AM312" s="54"/>
      <c r="AN312" s="54"/>
      <c r="AO312" s="54" t="s">
        <v>71</v>
      </c>
      <c r="AP312" s="54"/>
      <c r="AQ312" s="54"/>
      <c r="AR312" s="54" t="s">
        <v>71</v>
      </c>
      <c r="AS312" s="54"/>
      <c r="AT312" s="54"/>
      <c r="AU312" s="54" t="s">
        <v>71</v>
      </c>
      <c r="AV312" s="54"/>
      <c r="AW312" s="54"/>
      <c r="AX312" s="54" t="s">
        <v>71</v>
      </c>
      <c r="AY312" s="54"/>
      <c r="AZ312" s="55" t="s">
        <v>71</v>
      </c>
      <c r="BA312" s="55"/>
      <c r="BB312" s="55"/>
      <c r="BC312" s="55"/>
      <c r="BD312" s="55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56" t="s">
        <v>9</v>
      </c>
      <c r="C313" s="57" t="s">
        <v>415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499</v>
      </c>
      <c r="W313" s="58"/>
      <c r="X313" s="58"/>
      <c r="Y313" s="25" t="s">
        <v>71</v>
      </c>
      <c r="Z313" s="25"/>
      <c r="AA313" s="25"/>
      <c r="AB313" s="25"/>
      <c r="AC313" s="25" t="s">
        <v>71</v>
      </c>
      <c r="AD313" s="25"/>
      <c r="AE313" s="25"/>
      <c r="AF313" s="25" t="s">
        <v>71</v>
      </c>
      <c r="AG313" s="25"/>
      <c r="AH313" s="25"/>
      <c r="AI313" s="25" t="s">
        <v>71</v>
      </c>
      <c r="AJ313" s="25"/>
      <c r="AK313" s="25" t="s">
        <v>71</v>
      </c>
      <c r="AL313" s="25"/>
      <c r="AM313" s="25"/>
      <c r="AN313" s="25"/>
      <c r="AO313" s="25" t="s">
        <v>71</v>
      </c>
      <c r="AP313" s="25"/>
      <c r="AQ313" s="25"/>
      <c r="AR313" s="25" t="s">
        <v>71</v>
      </c>
      <c r="AS313" s="25"/>
      <c r="AT313" s="25"/>
      <c r="AU313" s="25" t="s">
        <v>71</v>
      </c>
      <c r="AV313" s="25"/>
      <c r="AW313" s="25"/>
      <c r="AX313" s="25" t="s">
        <v>71</v>
      </c>
      <c r="AY313" s="25"/>
      <c r="AZ313" s="46" t="s">
        <v>71</v>
      </c>
      <c r="BA313" s="46"/>
      <c r="BB313" s="46"/>
      <c r="BC313" s="46"/>
      <c r="BD313" s="4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56" t="s">
        <v>9</v>
      </c>
      <c r="C314" s="57" t="s">
        <v>417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500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223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501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4">
        <f>21666</f>
        <v>21666</v>
      </c>
      <c r="AP315" s="24"/>
      <c r="AQ315" s="24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59">
        <f>21666</f>
        <v>21666</v>
      </c>
      <c r="BA315" s="59"/>
      <c r="BB315" s="59"/>
      <c r="BC315" s="59"/>
      <c r="BD315" s="5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420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502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24" customHeight="1">
      <c r="A317" s="39"/>
      <c r="B317" s="56" t="s">
        <v>9</v>
      </c>
      <c r="C317" s="57" t="s">
        <v>422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503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24" customHeight="1">
      <c r="A318" s="39"/>
      <c r="B318" s="56" t="s">
        <v>9</v>
      </c>
      <c r="C318" s="57" t="s">
        <v>424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504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5" t="s">
        <v>71</v>
      </c>
      <c r="AP318" s="25"/>
      <c r="AQ318" s="25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46" t="s">
        <v>71</v>
      </c>
      <c r="BA318" s="46"/>
      <c r="BB318" s="46"/>
      <c r="BC318" s="46"/>
      <c r="BD318" s="4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13.5" customHeight="1">
      <c r="A319" s="39"/>
      <c r="B319" s="56" t="s">
        <v>9</v>
      </c>
      <c r="C319" s="57" t="s">
        <v>426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505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24" customHeight="1">
      <c r="A320" s="39"/>
      <c r="B320" s="56" t="s">
        <v>9</v>
      </c>
      <c r="C320" s="57" t="s">
        <v>428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506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44" t="s">
        <v>507</v>
      </c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5" t="s">
        <v>508</v>
      </c>
      <c r="W321" s="45"/>
      <c r="X321" s="45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47" t="s">
        <v>412</v>
      </c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8" t="s">
        <v>9</v>
      </c>
      <c r="W322" s="48"/>
      <c r="X322" s="48"/>
      <c r="Y322" s="49" t="s">
        <v>9</v>
      </c>
      <c r="Z322" s="49"/>
      <c r="AA322" s="49"/>
      <c r="AB322" s="49"/>
      <c r="AC322" s="49" t="s">
        <v>9</v>
      </c>
      <c r="AD322" s="49"/>
      <c r="AE322" s="49"/>
      <c r="AF322" s="49" t="s">
        <v>9</v>
      </c>
      <c r="AG322" s="49"/>
      <c r="AH322" s="49"/>
      <c r="AI322" s="49" t="s">
        <v>9</v>
      </c>
      <c r="AJ322" s="49"/>
      <c r="AK322" s="49" t="s">
        <v>9</v>
      </c>
      <c r="AL322" s="49"/>
      <c r="AM322" s="49"/>
      <c r="AN322" s="49"/>
      <c r="AO322" s="49" t="s">
        <v>9</v>
      </c>
      <c r="AP322" s="49"/>
      <c r="AQ322" s="49"/>
      <c r="AR322" s="49" t="s">
        <v>9</v>
      </c>
      <c r="AS322" s="49"/>
      <c r="AT322" s="49"/>
      <c r="AU322" s="49" t="s">
        <v>9</v>
      </c>
      <c r="AV322" s="49"/>
      <c r="AW322" s="49"/>
      <c r="AX322" s="49" t="s">
        <v>9</v>
      </c>
      <c r="AY322" s="49"/>
      <c r="AZ322" s="50" t="s">
        <v>9</v>
      </c>
      <c r="BA322" s="50"/>
      <c r="BB322" s="50"/>
      <c r="BC322" s="50"/>
      <c r="BD322" s="50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51" t="s">
        <v>9</v>
      </c>
      <c r="C323" s="52" t="s">
        <v>413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3" t="s">
        <v>509</v>
      </c>
      <c r="W323" s="53"/>
      <c r="X323" s="53"/>
      <c r="Y323" s="54" t="s">
        <v>71</v>
      </c>
      <c r="Z323" s="54"/>
      <c r="AA323" s="54"/>
      <c r="AB323" s="54"/>
      <c r="AC323" s="54" t="s">
        <v>71</v>
      </c>
      <c r="AD323" s="54"/>
      <c r="AE323" s="54"/>
      <c r="AF323" s="54" t="s">
        <v>71</v>
      </c>
      <c r="AG323" s="54"/>
      <c r="AH323" s="54"/>
      <c r="AI323" s="54" t="s">
        <v>71</v>
      </c>
      <c r="AJ323" s="54"/>
      <c r="AK323" s="54" t="s">
        <v>71</v>
      </c>
      <c r="AL323" s="54"/>
      <c r="AM323" s="54"/>
      <c r="AN323" s="54"/>
      <c r="AO323" s="54" t="s">
        <v>71</v>
      </c>
      <c r="AP323" s="54"/>
      <c r="AQ323" s="54"/>
      <c r="AR323" s="54" t="s">
        <v>71</v>
      </c>
      <c r="AS323" s="54"/>
      <c r="AT323" s="54"/>
      <c r="AU323" s="54" t="s">
        <v>71</v>
      </c>
      <c r="AV323" s="54"/>
      <c r="AW323" s="54"/>
      <c r="AX323" s="54" t="s">
        <v>71</v>
      </c>
      <c r="AY323" s="54"/>
      <c r="AZ323" s="55" t="s">
        <v>71</v>
      </c>
      <c r="BA323" s="55"/>
      <c r="BB323" s="55"/>
      <c r="BC323" s="55"/>
      <c r="BD323" s="55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56" t="s">
        <v>9</v>
      </c>
      <c r="C324" s="57" t="s">
        <v>415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510</v>
      </c>
      <c r="W324" s="58"/>
      <c r="X324" s="58"/>
      <c r="Y324" s="25" t="s">
        <v>71</v>
      </c>
      <c r="Z324" s="25"/>
      <c r="AA324" s="25"/>
      <c r="AB324" s="25"/>
      <c r="AC324" s="25" t="s">
        <v>71</v>
      </c>
      <c r="AD324" s="25"/>
      <c r="AE324" s="25"/>
      <c r="AF324" s="25" t="s">
        <v>71</v>
      </c>
      <c r="AG324" s="25"/>
      <c r="AH324" s="25"/>
      <c r="AI324" s="25" t="s">
        <v>71</v>
      </c>
      <c r="AJ324" s="25"/>
      <c r="AK324" s="25" t="s">
        <v>71</v>
      </c>
      <c r="AL324" s="25"/>
      <c r="AM324" s="25"/>
      <c r="AN324" s="25"/>
      <c r="AO324" s="25" t="s">
        <v>71</v>
      </c>
      <c r="AP324" s="25"/>
      <c r="AQ324" s="25"/>
      <c r="AR324" s="25" t="s">
        <v>71</v>
      </c>
      <c r="AS324" s="25"/>
      <c r="AT324" s="25"/>
      <c r="AU324" s="25" t="s">
        <v>71</v>
      </c>
      <c r="AV324" s="25"/>
      <c r="AW324" s="25"/>
      <c r="AX324" s="25" t="s">
        <v>71</v>
      </c>
      <c r="AY324" s="25"/>
      <c r="AZ324" s="46" t="s">
        <v>71</v>
      </c>
      <c r="BA324" s="46"/>
      <c r="BB324" s="46"/>
      <c r="BC324" s="46"/>
      <c r="BD324" s="4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56" t="s">
        <v>9</v>
      </c>
      <c r="C325" s="57" t="s">
        <v>417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511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223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512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420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513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24" customHeight="1">
      <c r="A328" s="39"/>
      <c r="B328" s="56" t="s">
        <v>9</v>
      </c>
      <c r="C328" s="57" t="s">
        <v>422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514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24" customHeight="1">
      <c r="A329" s="39"/>
      <c r="B329" s="56" t="s">
        <v>9</v>
      </c>
      <c r="C329" s="57" t="s">
        <v>424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515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13.5" customHeight="1">
      <c r="A330" s="39"/>
      <c r="B330" s="56" t="s">
        <v>9</v>
      </c>
      <c r="C330" s="57" t="s">
        <v>426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516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24" customHeight="1">
      <c r="A331" s="39"/>
      <c r="B331" s="56" t="s">
        <v>9</v>
      </c>
      <c r="C331" s="57" t="s">
        <v>428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60" t="s">
        <v>517</v>
      </c>
      <c r="W331" s="60"/>
      <c r="X331" s="60"/>
      <c r="Y331" s="61" t="s">
        <v>71</v>
      </c>
      <c r="Z331" s="61"/>
      <c r="AA331" s="61"/>
      <c r="AB331" s="61"/>
      <c r="AC331" s="61" t="s">
        <v>71</v>
      </c>
      <c r="AD331" s="61"/>
      <c r="AE331" s="61"/>
      <c r="AF331" s="61" t="s">
        <v>71</v>
      </c>
      <c r="AG331" s="61"/>
      <c r="AH331" s="61"/>
      <c r="AI331" s="61" t="s">
        <v>71</v>
      </c>
      <c r="AJ331" s="61"/>
      <c r="AK331" s="61" t="s">
        <v>71</v>
      </c>
      <c r="AL331" s="61"/>
      <c r="AM331" s="61"/>
      <c r="AN331" s="61"/>
      <c r="AO331" s="61" t="s">
        <v>71</v>
      </c>
      <c r="AP331" s="61"/>
      <c r="AQ331" s="61"/>
      <c r="AR331" s="61" t="s">
        <v>71</v>
      </c>
      <c r="AS331" s="61"/>
      <c r="AT331" s="61"/>
      <c r="AU331" s="61" t="s">
        <v>71</v>
      </c>
      <c r="AV331" s="61"/>
      <c r="AW331" s="61"/>
      <c r="AX331" s="61" t="s">
        <v>71</v>
      </c>
      <c r="AY331" s="61"/>
      <c r="AZ331" s="62" t="s">
        <v>71</v>
      </c>
      <c r="BA331" s="62"/>
      <c r="BB331" s="62"/>
      <c r="BC331" s="62"/>
      <c r="BD331" s="62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29" t="s">
        <v>9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29" t="s">
        <v>9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8" t="s">
        <v>518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63" t="s">
        <v>9</v>
      </c>
      <c r="O334" s="63"/>
      <c r="P334" s="63"/>
      <c r="Q334" s="63"/>
      <c r="R334" s="63"/>
      <c r="S334" s="63" t="s">
        <v>519</v>
      </c>
      <c r="T334" s="63"/>
      <c r="U334" s="63"/>
      <c r="V334" s="63"/>
      <c r="W334" s="63"/>
      <c r="X334" s="63"/>
      <c r="Y334" s="63"/>
      <c r="Z334" s="63"/>
      <c r="AA334" s="29" t="s">
        <v>9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64" t="s">
        <v>9</v>
      </c>
      <c r="O335" s="65" t="s">
        <v>520</v>
      </c>
      <c r="P335" s="65"/>
      <c r="Q335" s="65"/>
      <c r="R335" s="64" t="s">
        <v>9</v>
      </c>
      <c r="S335" s="64" t="s">
        <v>9</v>
      </c>
      <c r="T335" s="65" t="s">
        <v>521</v>
      </c>
      <c r="U335" s="65"/>
      <c r="V335" s="65"/>
      <c r="W335" s="65"/>
      <c r="X335" s="65"/>
      <c r="Y335" s="65"/>
      <c r="Z335" s="29" t="s">
        <v>9</v>
      </c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7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8" t="s">
        <v>522</v>
      </c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63" t="s">
        <v>9</v>
      </c>
      <c r="O337" s="63"/>
      <c r="P337" s="63"/>
      <c r="Q337" s="63"/>
      <c r="R337" s="63"/>
      <c r="S337" s="63" t="s">
        <v>523</v>
      </c>
      <c r="T337" s="63"/>
      <c r="U337" s="63"/>
      <c r="V337" s="63"/>
      <c r="W337" s="63"/>
      <c r="X337" s="63"/>
      <c r="Y337" s="63"/>
      <c r="Z337" s="63"/>
      <c r="AA337" s="29" t="s">
        <v>9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13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64" t="s">
        <v>9</v>
      </c>
      <c r="O338" s="65" t="s">
        <v>520</v>
      </c>
      <c r="P338" s="65"/>
      <c r="Q338" s="65"/>
      <c r="R338" s="64" t="s">
        <v>9</v>
      </c>
      <c r="S338" s="64" t="s">
        <v>9</v>
      </c>
      <c r="T338" s="65" t="s">
        <v>521</v>
      </c>
      <c r="U338" s="65"/>
      <c r="V338" s="65"/>
      <c r="W338" s="65"/>
      <c r="X338" s="65"/>
      <c r="Y338" s="65"/>
      <c r="Z338" s="29" t="s">
        <v>9</v>
      </c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7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8" t="s">
        <v>524</v>
      </c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63" t="s">
        <v>9</v>
      </c>
      <c r="O340" s="63"/>
      <c r="P340" s="63"/>
      <c r="Q340" s="63"/>
      <c r="R340" s="63"/>
      <c r="S340" s="63" t="s">
        <v>525</v>
      </c>
      <c r="T340" s="63"/>
      <c r="U340" s="63"/>
      <c r="V340" s="63"/>
      <c r="W340" s="63"/>
      <c r="X340" s="63"/>
      <c r="Y340" s="63"/>
      <c r="Z340" s="63"/>
      <c r="AA340" s="29" t="s">
        <v>9</v>
      </c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64" t="s">
        <v>9</v>
      </c>
      <c r="O341" s="65" t="s">
        <v>520</v>
      </c>
      <c r="P341" s="65"/>
      <c r="Q341" s="65"/>
      <c r="R341" s="64" t="s">
        <v>9</v>
      </c>
      <c r="S341" s="64" t="s">
        <v>9</v>
      </c>
      <c r="T341" s="65" t="s">
        <v>521</v>
      </c>
      <c r="U341" s="65"/>
      <c r="V341" s="65"/>
      <c r="W341" s="65"/>
      <c r="X341" s="65"/>
      <c r="Y341" s="65"/>
      <c r="Z341" s="29" t="s">
        <v>9</v>
      </c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7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8" t="s">
        <v>526</v>
      </c>
      <c r="B343" s="8"/>
      <c r="C343" s="8"/>
      <c r="D343" s="8"/>
      <c r="E343" s="63" t="s">
        <v>522</v>
      </c>
      <c r="F343" s="63"/>
      <c r="G343" s="63"/>
      <c r="H343" s="63"/>
      <c r="I343" s="63"/>
      <c r="J343" s="63"/>
      <c r="K343" s="63"/>
      <c r="L343" s="63"/>
      <c r="M343" s="63"/>
      <c r="N343" s="63" t="s">
        <v>9</v>
      </c>
      <c r="O343" s="63"/>
      <c r="P343" s="63"/>
      <c r="Q343" s="63"/>
      <c r="R343" s="63"/>
      <c r="S343" s="63" t="s">
        <v>523</v>
      </c>
      <c r="T343" s="63"/>
      <c r="U343" s="63"/>
      <c r="V343" s="63"/>
      <c r="W343" s="63"/>
      <c r="X343" s="63"/>
      <c r="Y343" s="63"/>
      <c r="Z343" s="63"/>
      <c r="AA343" s="29" t="s">
        <v>9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29" t="s">
        <v>9</v>
      </c>
      <c r="B344" s="29"/>
      <c r="C344" s="29"/>
      <c r="D344" s="29"/>
      <c r="E344" s="64" t="s">
        <v>9</v>
      </c>
      <c r="F344" s="65" t="s">
        <v>527</v>
      </c>
      <c r="G344" s="65"/>
      <c r="H344" s="65"/>
      <c r="I344" s="65"/>
      <c r="J344" s="65"/>
      <c r="K344" s="65"/>
      <c r="L344" s="29" t="s">
        <v>9</v>
      </c>
      <c r="M344" s="29"/>
      <c r="N344" s="64" t="s">
        <v>9</v>
      </c>
      <c r="O344" s="65" t="s">
        <v>520</v>
      </c>
      <c r="P344" s="65"/>
      <c r="Q344" s="65"/>
      <c r="R344" s="64" t="s">
        <v>9</v>
      </c>
      <c r="S344" s="64" t="s">
        <v>9</v>
      </c>
      <c r="T344" s="65" t="s">
        <v>521</v>
      </c>
      <c r="U344" s="65"/>
      <c r="V344" s="65"/>
      <c r="W344" s="65"/>
      <c r="X344" s="65"/>
      <c r="Y344" s="65"/>
      <c r="Z344" s="29" t="s">
        <v>9</v>
      </c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5.75" customHeight="1">
      <c r="A345" s="29" t="s">
        <v>9</v>
      </c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66" t="s">
        <v>528</v>
      </c>
      <c r="B347" s="66"/>
      <c r="C347" s="66"/>
      <c r="D347" s="66"/>
      <c r="E347" s="66"/>
      <c r="F347" s="66"/>
      <c r="G347" s="66"/>
      <c r="H347" s="66"/>
      <c r="I347" s="66"/>
      <c r="J347" s="66"/>
      <c r="K347" s="29" t="s">
        <v>9</v>
      </c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67" t="s">
        <v>529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</row>
  </sheetData>
  <sheetProtection/>
  <mergeCells count="4886">
    <mergeCell ref="A345:BQ345"/>
    <mergeCell ref="A346:BQ346"/>
    <mergeCell ref="A347:J347"/>
    <mergeCell ref="K347:BQ347"/>
    <mergeCell ref="A348:BQ348"/>
    <mergeCell ref="A344:D344"/>
    <mergeCell ref="F344:K344"/>
    <mergeCell ref="L344:M344"/>
    <mergeCell ref="O344:Q344"/>
    <mergeCell ref="T344:Y344"/>
    <mergeCell ref="Z344:BQ344"/>
    <mergeCell ref="A342:BQ342"/>
    <mergeCell ref="A343:D343"/>
    <mergeCell ref="E343:M343"/>
    <mergeCell ref="N343:R343"/>
    <mergeCell ref="S343:Z343"/>
    <mergeCell ref="AA343:BQ343"/>
    <mergeCell ref="A339:BQ339"/>
    <mergeCell ref="A340:M340"/>
    <mergeCell ref="N340:R340"/>
    <mergeCell ref="S340:Z340"/>
    <mergeCell ref="AA340:BQ340"/>
    <mergeCell ref="A341:M341"/>
    <mergeCell ref="O341:Q341"/>
    <mergeCell ref="T341:Y341"/>
    <mergeCell ref="Z341:BQ341"/>
    <mergeCell ref="A336:BQ336"/>
    <mergeCell ref="A337:M337"/>
    <mergeCell ref="N337:R337"/>
    <mergeCell ref="S337:Z337"/>
    <mergeCell ref="AA337:BQ337"/>
    <mergeCell ref="A338:M338"/>
    <mergeCell ref="O338:Q338"/>
    <mergeCell ref="T338:Y338"/>
    <mergeCell ref="Z338:BQ338"/>
    <mergeCell ref="A334:M334"/>
    <mergeCell ref="N334:R334"/>
    <mergeCell ref="S334:Z334"/>
    <mergeCell ref="AA334:BQ334"/>
    <mergeCell ref="A335:M335"/>
    <mergeCell ref="O335:Q335"/>
    <mergeCell ref="T335:Y335"/>
    <mergeCell ref="Z335:BQ335"/>
    <mergeCell ref="AU331:AW331"/>
    <mergeCell ref="AX331:AY331"/>
    <mergeCell ref="AZ331:BD331"/>
    <mergeCell ref="BE229:BQ331"/>
    <mergeCell ref="A332:BQ332"/>
    <mergeCell ref="A333:BQ333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O331:AQ331"/>
    <mergeCell ref="AR331:AT331"/>
    <mergeCell ref="AI330:AJ330"/>
    <mergeCell ref="AK330:AN330"/>
    <mergeCell ref="AO330:AQ330"/>
    <mergeCell ref="AR330:AT330"/>
    <mergeCell ref="AU330:AW330"/>
    <mergeCell ref="AX330:AY330"/>
    <mergeCell ref="AO329:AQ329"/>
    <mergeCell ref="AR329:AT329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U328:AW328"/>
    <mergeCell ref="AX328:AY328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Z327:BD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R328:AT328"/>
    <mergeCell ref="AI327:AJ327"/>
    <mergeCell ref="AK327:AN327"/>
    <mergeCell ref="AO327:AQ327"/>
    <mergeCell ref="AR327:AT327"/>
    <mergeCell ref="AU327:AW327"/>
    <mergeCell ref="AX327:AY327"/>
    <mergeCell ref="AO326:AQ326"/>
    <mergeCell ref="AR326:AT326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Z324:BD324"/>
    <mergeCell ref="C325:U325"/>
    <mergeCell ref="V325:X325"/>
    <mergeCell ref="Y325:AB325"/>
    <mergeCell ref="AC325:AE325"/>
    <mergeCell ref="AF325:AH325"/>
    <mergeCell ref="AI325:AJ325"/>
    <mergeCell ref="AK325:AN325"/>
    <mergeCell ref="AO325:AQ325"/>
    <mergeCell ref="AR325:AT325"/>
    <mergeCell ref="AI324:AJ324"/>
    <mergeCell ref="AK324:AN324"/>
    <mergeCell ref="AO324:AQ324"/>
    <mergeCell ref="AR324:AT324"/>
    <mergeCell ref="AU324:AW324"/>
    <mergeCell ref="AX324:AY324"/>
    <mergeCell ref="AO323:AQ323"/>
    <mergeCell ref="AR323:AT323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U322:AW322"/>
    <mergeCell ref="AX322:AY322"/>
    <mergeCell ref="AZ322:BD322"/>
    <mergeCell ref="C323:U323"/>
    <mergeCell ref="V323:X323"/>
    <mergeCell ref="Y323:AB323"/>
    <mergeCell ref="AC323:AE323"/>
    <mergeCell ref="AF323:AH323"/>
    <mergeCell ref="AI323:AJ323"/>
    <mergeCell ref="AK323:AN323"/>
    <mergeCell ref="AZ321:BD321"/>
    <mergeCell ref="B322:U322"/>
    <mergeCell ref="V322:X322"/>
    <mergeCell ref="Y322:AB322"/>
    <mergeCell ref="AC322:AE322"/>
    <mergeCell ref="AF322:AH322"/>
    <mergeCell ref="AI322:AJ322"/>
    <mergeCell ref="AK322:AN322"/>
    <mergeCell ref="AO322:AQ322"/>
    <mergeCell ref="AR322:AT322"/>
    <mergeCell ref="AI321:AJ321"/>
    <mergeCell ref="AK321:AN321"/>
    <mergeCell ref="AO321:AQ321"/>
    <mergeCell ref="AR321:AT321"/>
    <mergeCell ref="AU321:AW321"/>
    <mergeCell ref="AX321:AY321"/>
    <mergeCell ref="AO320:AQ320"/>
    <mergeCell ref="AR320:AT320"/>
    <mergeCell ref="AU320:AW320"/>
    <mergeCell ref="AX320:AY320"/>
    <mergeCell ref="AZ320:BD320"/>
    <mergeCell ref="B321:U321"/>
    <mergeCell ref="V321:X321"/>
    <mergeCell ref="Y321:AB321"/>
    <mergeCell ref="AC321:AE321"/>
    <mergeCell ref="AF321:AH321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O319:AQ319"/>
    <mergeCell ref="AR319:AT319"/>
    <mergeCell ref="AI318:AJ318"/>
    <mergeCell ref="AK318:AN318"/>
    <mergeCell ref="AO318:AQ318"/>
    <mergeCell ref="AR318:AT318"/>
    <mergeCell ref="AU318:AW318"/>
    <mergeCell ref="AX318:AY318"/>
    <mergeCell ref="AO317:AQ317"/>
    <mergeCell ref="AR317:AT317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U316:AW316"/>
    <mergeCell ref="AX316:AY316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R316:AT316"/>
    <mergeCell ref="AI315:AJ315"/>
    <mergeCell ref="AK315:AN315"/>
    <mergeCell ref="AO315:AQ315"/>
    <mergeCell ref="AR315:AT315"/>
    <mergeCell ref="AU315:AW315"/>
    <mergeCell ref="AX315:AY315"/>
    <mergeCell ref="AO314:AQ314"/>
    <mergeCell ref="AR314:AT314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U313:AW313"/>
    <mergeCell ref="AX313:AY313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Z312:BD312"/>
    <mergeCell ref="C313:U313"/>
    <mergeCell ref="V313:X313"/>
    <mergeCell ref="Y313:AB313"/>
    <mergeCell ref="AC313:AE313"/>
    <mergeCell ref="AF313:AH313"/>
    <mergeCell ref="AI313:AJ313"/>
    <mergeCell ref="AK313:AN313"/>
    <mergeCell ref="AO313:AQ313"/>
    <mergeCell ref="AR313:AT313"/>
    <mergeCell ref="AI312:AJ312"/>
    <mergeCell ref="AK312:AN312"/>
    <mergeCell ref="AO312:AQ312"/>
    <mergeCell ref="AR312:AT312"/>
    <mergeCell ref="AU312:AW312"/>
    <mergeCell ref="AX312:AY312"/>
    <mergeCell ref="AO311:AQ311"/>
    <mergeCell ref="AR311:AT311"/>
    <mergeCell ref="AU311:AW311"/>
    <mergeCell ref="AX311:AY311"/>
    <mergeCell ref="AZ311:BD311"/>
    <mergeCell ref="C312:U312"/>
    <mergeCell ref="V312:X312"/>
    <mergeCell ref="Y312:AB312"/>
    <mergeCell ref="AC312:AE312"/>
    <mergeCell ref="AF312:AH312"/>
    <mergeCell ref="AU310:AW310"/>
    <mergeCell ref="AX310:AY310"/>
    <mergeCell ref="AZ310:BD310"/>
    <mergeCell ref="B311:U311"/>
    <mergeCell ref="V311:X311"/>
    <mergeCell ref="Y311:AB311"/>
    <mergeCell ref="AC311:AE311"/>
    <mergeCell ref="AF311:AH311"/>
    <mergeCell ref="AI311:AJ311"/>
    <mergeCell ref="AK311:AN311"/>
    <mergeCell ref="AZ309:BD309"/>
    <mergeCell ref="B310:U310"/>
    <mergeCell ref="V310:X310"/>
    <mergeCell ref="Y310:AB310"/>
    <mergeCell ref="AC310:AE310"/>
    <mergeCell ref="AF310:AH310"/>
    <mergeCell ref="AI310:AJ310"/>
    <mergeCell ref="AK310:AN310"/>
    <mergeCell ref="AO310:AQ310"/>
    <mergeCell ref="AR310:AT310"/>
    <mergeCell ref="AI309:AJ309"/>
    <mergeCell ref="AK309:AN309"/>
    <mergeCell ref="AO309:AQ309"/>
    <mergeCell ref="AR309:AT309"/>
    <mergeCell ref="AU309:AW309"/>
    <mergeCell ref="AX309:AY309"/>
    <mergeCell ref="AO308:AQ308"/>
    <mergeCell ref="AR308:AT308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Z306:BD306"/>
    <mergeCell ref="C307:U307"/>
    <mergeCell ref="V307:X307"/>
    <mergeCell ref="Y307:AB307"/>
    <mergeCell ref="AC307:AE307"/>
    <mergeCell ref="AF307:AH307"/>
    <mergeCell ref="AI307:AJ307"/>
    <mergeCell ref="AK307:AN307"/>
    <mergeCell ref="AO307:AQ307"/>
    <mergeCell ref="AR307:AT307"/>
    <mergeCell ref="AI306:AJ306"/>
    <mergeCell ref="AK306:AN306"/>
    <mergeCell ref="AO306:AQ306"/>
    <mergeCell ref="AR306:AT306"/>
    <mergeCell ref="AU306:AW306"/>
    <mergeCell ref="AX306:AY306"/>
    <mergeCell ref="AO305:AQ305"/>
    <mergeCell ref="AR305:AT305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O304:AQ304"/>
    <mergeCell ref="AR304:AT304"/>
    <mergeCell ref="AI303:AJ303"/>
    <mergeCell ref="AK303:AN303"/>
    <mergeCell ref="AO303:AQ303"/>
    <mergeCell ref="AR303:AT303"/>
    <mergeCell ref="AU303:AW303"/>
    <mergeCell ref="AX303:AY303"/>
    <mergeCell ref="AO302:AQ302"/>
    <mergeCell ref="AR302:AT302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U301:AW301"/>
    <mergeCell ref="AX301:AY301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Z300:BD300"/>
    <mergeCell ref="C301:U301"/>
    <mergeCell ref="V301:X301"/>
    <mergeCell ref="Y301:AB301"/>
    <mergeCell ref="AC301:AE301"/>
    <mergeCell ref="AF301:AH301"/>
    <mergeCell ref="AI301:AJ301"/>
    <mergeCell ref="AK301:AN301"/>
    <mergeCell ref="AO301:AQ301"/>
    <mergeCell ref="AR301:AT301"/>
    <mergeCell ref="AI300:AJ300"/>
    <mergeCell ref="AK300:AN300"/>
    <mergeCell ref="AO300:AQ300"/>
    <mergeCell ref="AR300:AT300"/>
    <mergeCell ref="AU300:AW300"/>
    <mergeCell ref="AX300:AY300"/>
    <mergeCell ref="AO299:AQ299"/>
    <mergeCell ref="AR299:AT299"/>
    <mergeCell ref="AU299:AW299"/>
    <mergeCell ref="AX299:AY299"/>
    <mergeCell ref="AZ299:BD299"/>
    <mergeCell ref="B300:U300"/>
    <mergeCell ref="V300:X300"/>
    <mergeCell ref="Y300:AB300"/>
    <mergeCell ref="AC300:AE300"/>
    <mergeCell ref="AF300:AH300"/>
    <mergeCell ref="AU298:AW298"/>
    <mergeCell ref="AX298:AY298"/>
    <mergeCell ref="AZ298:BD298"/>
    <mergeCell ref="B299:U299"/>
    <mergeCell ref="V299:X299"/>
    <mergeCell ref="Y299:AB299"/>
    <mergeCell ref="AC299:AE299"/>
    <mergeCell ref="AF299:AH299"/>
    <mergeCell ref="AI299:AJ299"/>
    <mergeCell ref="AK299:AN299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R298:AT298"/>
    <mergeCell ref="AI297:AJ297"/>
    <mergeCell ref="AK297:AN297"/>
    <mergeCell ref="AO297:AQ297"/>
    <mergeCell ref="AR297:AT297"/>
    <mergeCell ref="AU297:AW297"/>
    <mergeCell ref="AX297:AY297"/>
    <mergeCell ref="AO296:AQ296"/>
    <mergeCell ref="AR296:AT296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U295:AW295"/>
    <mergeCell ref="AX295:AY295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Z294:BD294"/>
    <mergeCell ref="C295:U295"/>
    <mergeCell ref="V295:X295"/>
    <mergeCell ref="Y295:AB295"/>
    <mergeCell ref="AC295:AE295"/>
    <mergeCell ref="AF295:AH295"/>
    <mergeCell ref="AI295:AJ295"/>
    <mergeCell ref="AK295:AN295"/>
    <mergeCell ref="AO295:AQ295"/>
    <mergeCell ref="AR295:AT295"/>
    <mergeCell ref="AI294:AJ294"/>
    <mergeCell ref="AK294:AN294"/>
    <mergeCell ref="AO294:AQ294"/>
    <mergeCell ref="AR294:AT294"/>
    <mergeCell ref="AU294:AW294"/>
    <mergeCell ref="AX294:AY294"/>
    <mergeCell ref="AO293:AQ293"/>
    <mergeCell ref="AR293:AT293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Z291:BD291"/>
    <mergeCell ref="C292:U292"/>
    <mergeCell ref="V292:X292"/>
    <mergeCell ref="Y292:AB292"/>
    <mergeCell ref="AC292:AE292"/>
    <mergeCell ref="AF292:AH292"/>
    <mergeCell ref="AI292:AJ292"/>
    <mergeCell ref="AK292:AN292"/>
    <mergeCell ref="AO292:AQ292"/>
    <mergeCell ref="AR292:AT292"/>
    <mergeCell ref="AI291:AJ291"/>
    <mergeCell ref="AK291:AN291"/>
    <mergeCell ref="AO291:AQ291"/>
    <mergeCell ref="AR291:AT291"/>
    <mergeCell ref="AU291:AW291"/>
    <mergeCell ref="AX291:AY291"/>
    <mergeCell ref="AO290:AQ290"/>
    <mergeCell ref="AR290:AT290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U289:AW289"/>
    <mergeCell ref="AX289:AY289"/>
    <mergeCell ref="AZ289:BD289"/>
    <mergeCell ref="C290:U290"/>
    <mergeCell ref="V290:X290"/>
    <mergeCell ref="Y290:AB290"/>
    <mergeCell ref="AC290:AE290"/>
    <mergeCell ref="AF290:AH290"/>
    <mergeCell ref="AI290:AJ290"/>
    <mergeCell ref="AK290:AN290"/>
    <mergeCell ref="AZ288:BD288"/>
    <mergeCell ref="B289:U289"/>
    <mergeCell ref="V289:X289"/>
    <mergeCell ref="Y289:AB289"/>
    <mergeCell ref="AC289:AE289"/>
    <mergeCell ref="AF289:AH289"/>
    <mergeCell ref="AI289:AJ289"/>
    <mergeCell ref="AK289:AN289"/>
    <mergeCell ref="AO289:AQ289"/>
    <mergeCell ref="AR289:AT289"/>
    <mergeCell ref="AI288:AJ288"/>
    <mergeCell ref="AK288:AN288"/>
    <mergeCell ref="AO288:AQ288"/>
    <mergeCell ref="AR288:AT288"/>
    <mergeCell ref="AU288:AW288"/>
    <mergeCell ref="AX288:AY288"/>
    <mergeCell ref="AO287:AQ287"/>
    <mergeCell ref="AR287:AT287"/>
    <mergeCell ref="AU287:AW287"/>
    <mergeCell ref="AX287:AY287"/>
    <mergeCell ref="AZ287:BD287"/>
    <mergeCell ref="B288:U288"/>
    <mergeCell ref="V288:X288"/>
    <mergeCell ref="Y288:AB288"/>
    <mergeCell ref="AC288:AE288"/>
    <mergeCell ref="AF288:AH288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R286:AT286"/>
    <mergeCell ref="AI285:AJ285"/>
    <mergeCell ref="AK285:AN285"/>
    <mergeCell ref="AO285:AQ285"/>
    <mergeCell ref="AR285:AT285"/>
    <mergeCell ref="AU285:AW285"/>
    <mergeCell ref="AX285:AY285"/>
    <mergeCell ref="AO284:AQ284"/>
    <mergeCell ref="AR284:AT284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U283:AW283"/>
    <mergeCell ref="AX283:AY283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O283:AQ283"/>
    <mergeCell ref="AR283:AT283"/>
    <mergeCell ref="AI282:AJ282"/>
    <mergeCell ref="AK282:AN282"/>
    <mergeCell ref="AO282:AQ282"/>
    <mergeCell ref="AR282:AT282"/>
    <mergeCell ref="AU282:AW282"/>
    <mergeCell ref="AX282:AY282"/>
    <mergeCell ref="AO281:AQ281"/>
    <mergeCell ref="AR281:AT281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U280:AW280"/>
    <mergeCell ref="AX280:AY280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Z279:BD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R280:AT280"/>
    <mergeCell ref="AI279:AJ279"/>
    <mergeCell ref="AK279:AN279"/>
    <mergeCell ref="AO279:AQ279"/>
    <mergeCell ref="AR279:AT279"/>
    <mergeCell ref="AU279:AW279"/>
    <mergeCell ref="AX279:AY279"/>
    <mergeCell ref="AO278:AQ278"/>
    <mergeCell ref="AR278:AT278"/>
    <mergeCell ref="AU278:AW278"/>
    <mergeCell ref="AX278:AY278"/>
    <mergeCell ref="AZ278:BD278"/>
    <mergeCell ref="C279:U279"/>
    <mergeCell ref="V279:X279"/>
    <mergeCell ref="Y279:AB279"/>
    <mergeCell ref="AC279:AE279"/>
    <mergeCell ref="AF279:AH279"/>
    <mergeCell ref="AU277:AW277"/>
    <mergeCell ref="AX277:AY277"/>
    <mergeCell ref="AZ277:BD277"/>
    <mergeCell ref="B278:U278"/>
    <mergeCell ref="V278:X278"/>
    <mergeCell ref="Y278:AB278"/>
    <mergeCell ref="AC278:AE278"/>
    <mergeCell ref="AF278:AH278"/>
    <mergeCell ref="AI278:AJ278"/>
    <mergeCell ref="AK278:AN278"/>
    <mergeCell ref="AZ276:BD276"/>
    <mergeCell ref="B277:U277"/>
    <mergeCell ref="V277:X277"/>
    <mergeCell ref="Y277:AB277"/>
    <mergeCell ref="AC277:AE277"/>
    <mergeCell ref="AF277:AH277"/>
    <mergeCell ref="AI277:AJ277"/>
    <mergeCell ref="AK277:AN277"/>
    <mergeCell ref="AO277:AQ277"/>
    <mergeCell ref="AR277:AT277"/>
    <mergeCell ref="AI276:AJ276"/>
    <mergeCell ref="AK276:AN276"/>
    <mergeCell ref="AO276:AQ276"/>
    <mergeCell ref="AR276:AT276"/>
    <mergeCell ref="AU276:AW276"/>
    <mergeCell ref="AX276:AY276"/>
    <mergeCell ref="AO275:AQ275"/>
    <mergeCell ref="AR275:AT275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Z273:BD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R274:AT274"/>
    <mergeCell ref="AI273:AJ273"/>
    <mergeCell ref="AK273:AN273"/>
    <mergeCell ref="AO273:AQ273"/>
    <mergeCell ref="AR273:AT273"/>
    <mergeCell ref="AU273:AW273"/>
    <mergeCell ref="AX273:AY273"/>
    <mergeCell ref="AO272:AQ272"/>
    <mergeCell ref="AR272:AT272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O271:AQ271"/>
    <mergeCell ref="AR271:AT271"/>
    <mergeCell ref="AI270:AJ270"/>
    <mergeCell ref="AK270:AN270"/>
    <mergeCell ref="AO270:AQ270"/>
    <mergeCell ref="AR270:AT270"/>
    <mergeCell ref="AU270:AW270"/>
    <mergeCell ref="AX270:AY270"/>
    <mergeCell ref="AO269:AQ269"/>
    <mergeCell ref="AR269:AT269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U268:AW268"/>
    <mergeCell ref="AX268:AY268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Z267:BD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R268:AT268"/>
    <mergeCell ref="AI267:AJ267"/>
    <mergeCell ref="AK267:AN267"/>
    <mergeCell ref="AO267:AQ267"/>
    <mergeCell ref="AR267:AT267"/>
    <mergeCell ref="AU267:AW267"/>
    <mergeCell ref="AX267:AY267"/>
    <mergeCell ref="AO266:AQ266"/>
    <mergeCell ref="AR266:AT266"/>
    <mergeCell ref="AU266:AW266"/>
    <mergeCell ref="AX266:AY266"/>
    <mergeCell ref="AZ266:BD266"/>
    <mergeCell ref="B267:U267"/>
    <mergeCell ref="V267:X267"/>
    <mergeCell ref="Y267:AB267"/>
    <mergeCell ref="AC267:AE267"/>
    <mergeCell ref="AF267:AH267"/>
    <mergeCell ref="AU265:AW265"/>
    <mergeCell ref="AX265:AY265"/>
    <mergeCell ref="AZ265:BD265"/>
    <mergeCell ref="B266:U266"/>
    <mergeCell ref="V266:X266"/>
    <mergeCell ref="Y266:AB266"/>
    <mergeCell ref="AC266:AE266"/>
    <mergeCell ref="AF266:AH266"/>
    <mergeCell ref="AI266:AJ266"/>
    <mergeCell ref="AK266:AN266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O265:AQ265"/>
    <mergeCell ref="AR265:AT265"/>
    <mergeCell ref="AI264:AJ264"/>
    <mergeCell ref="AK264:AN264"/>
    <mergeCell ref="AO264:AQ264"/>
    <mergeCell ref="AR264:AT264"/>
    <mergeCell ref="AU264:AW264"/>
    <mergeCell ref="AX264:AY264"/>
    <mergeCell ref="AO263:AQ263"/>
    <mergeCell ref="AR263:AT263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U262:AW262"/>
    <mergeCell ref="AX262:AY262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Z261:BD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R262:AT262"/>
    <mergeCell ref="AI261:AJ261"/>
    <mergeCell ref="AK261:AN261"/>
    <mergeCell ref="AO261:AQ261"/>
    <mergeCell ref="AR261:AT261"/>
    <mergeCell ref="AU261:AW261"/>
    <mergeCell ref="AX261:AY261"/>
    <mergeCell ref="AO260:AQ260"/>
    <mergeCell ref="AR260:AT260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Z258:BD258"/>
    <mergeCell ref="C259:U259"/>
    <mergeCell ref="V259:X259"/>
    <mergeCell ref="Y259:AB259"/>
    <mergeCell ref="AC259:AE259"/>
    <mergeCell ref="AF259:AH259"/>
    <mergeCell ref="AI259:AJ259"/>
    <mergeCell ref="AK259:AN259"/>
    <mergeCell ref="AO259:AQ259"/>
    <mergeCell ref="AR259:AT259"/>
    <mergeCell ref="AI258:AJ258"/>
    <mergeCell ref="AK258:AN258"/>
    <mergeCell ref="AO258:AQ258"/>
    <mergeCell ref="AR258:AT258"/>
    <mergeCell ref="AU258:AW258"/>
    <mergeCell ref="AX258:AY258"/>
    <mergeCell ref="AO257:AQ257"/>
    <mergeCell ref="AR257:AT257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U256:AW256"/>
    <mergeCell ref="AX256:AY256"/>
    <mergeCell ref="AZ256:BD256"/>
    <mergeCell ref="C257:U257"/>
    <mergeCell ref="V257:X257"/>
    <mergeCell ref="Y257:AB257"/>
    <mergeCell ref="AC257:AE257"/>
    <mergeCell ref="AF257:AH257"/>
    <mergeCell ref="AI257:AJ257"/>
    <mergeCell ref="AK257:AN257"/>
    <mergeCell ref="AZ255:BD255"/>
    <mergeCell ref="B256:U256"/>
    <mergeCell ref="V256:X256"/>
    <mergeCell ref="Y256:AB256"/>
    <mergeCell ref="AC256:AE256"/>
    <mergeCell ref="AF256:AH256"/>
    <mergeCell ref="AI256:AJ256"/>
    <mergeCell ref="AK256:AN256"/>
    <mergeCell ref="AO256:AQ256"/>
    <mergeCell ref="AR256:AT256"/>
    <mergeCell ref="AI255:AJ255"/>
    <mergeCell ref="AK255:AN255"/>
    <mergeCell ref="AO255:AQ255"/>
    <mergeCell ref="AR255:AT255"/>
    <mergeCell ref="AU255:AW255"/>
    <mergeCell ref="AX255:AY255"/>
    <mergeCell ref="AO254:AQ254"/>
    <mergeCell ref="AR254:AT254"/>
    <mergeCell ref="AU254:AW254"/>
    <mergeCell ref="AX254:AY254"/>
    <mergeCell ref="AZ254:BD254"/>
    <mergeCell ref="B255:U255"/>
    <mergeCell ref="V255:X255"/>
    <mergeCell ref="Y255:AB255"/>
    <mergeCell ref="AC255:AE255"/>
    <mergeCell ref="AF255:AH255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O253:AQ253"/>
    <mergeCell ref="AR253:AT253"/>
    <mergeCell ref="AI252:AJ252"/>
    <mergeCell ref="AK252:AN252"/>
    <mergeCell ref="AO252:AQ252"/>
    <mergeCell ref="AR252:AT252"/>
    <mergeCell ref="AU252:AW252"/>
    <mergeCell ref="AX252:AY252"/>
    <mergeCell ref="AO251:AQ251"/>
    <mergeCell ref="AR251:AT251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U250:AW250"/>
    <mergeCell ref="AX250:AY250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R250:AT250"/>
    <mergeCell ref="AI249:AJ249"/>
    <mergeCell ref="AK249:AN249"/>
    <mergeCell ref="AO249:AQ249"/>
    <mergeCell ref="AR249:AT249"/>
    <mergeCell ref="AU249:AW249"/>
    <mergeCell ref="AX249:AY249"/>
    <mergeCell ref="AO248:AQ248"/>
    <mergeCell ref="AR248:AT248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U247:AW247"/>
    <mergeCell ref="AX247:AY247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Z246:BD246"/>
    <mergeCell ref="C247:U247"/>
    <mergeCell ref="V247:X247"/>
    <mergeCell ref="Y247:AB247"/>
    <mergeCell ref="AC247:AE247"/>
    <mergeCell ref="AF247:AH247"/>
    <mergeCell ref="AI247:AJ247"/>
    <mergeCell ref="AK247:AN247"/>
    <mergeCell ref="AO247:AQ247"/>
    <mergeCell ref="AR247:AT247"/>
    <mergeCell ref="AI246:AJ246"/>
    <mergeCell ref="AK246:AN246"/>
    <mergeCell ref="AO246:AQ246"/>
    <mergeCell ref="AR246:AT246"/>
    <mergeCell ref="AU246:AW246"/>
    <mergeCell ref="AX246:AY246"/>
    <mergeCell ref="AO245:AQ245"/>
    <mergeCell ref="AR245:AT245"/>
    <mergeCell ref="AU245:AW245"/>
    <mergeCell ref="AX245:AY245"/>
    <mergeCell ref="AZ245:BD245"/>
    <mergeCell ref="C246:U246"/>
    <mergeCell ref="V246:X246"/>
    <mergeCell ref="Y246:AB246"/>
    <mergeCell ref="AC246:AE246"/>
    <mergeCell ref="AF246:AH246"/>
    <mergeCell ref="AU244:AW244"/>
    <mergeCell ref="AX244:AY244"/>
    <mergeCell ref="AZ244:BD244"/>
    <mergeCell ref="B245:U245"/>
    <mergeCell ref="V245:X245"/>
    <mergeCell ref="Y245:AB245"/>
    <mergeCell ref="AC245:AE245"/>
    <mergeCell ref="AF245:AH245"/>
    <mergeCell ref="AI245:AJ245"/>
    <mergeCell ref="AK245:AN245"/>
    <mergeCell ref="AZ243:BD243"/>
    <mergeCell ref="B244:U244"/>
    <mergeCell ref="V244:X244"/>
    <mergeCell ref="Y244:AB244"/>
    <mergeCell ref="AC244:AE244"/>
    <mergeCell ref="AF244:AH244"/>
    <mergeCell ref="AI244:AJ244"/>
    <mergeCell ref="AK244:AN244"/>
    <mergeCell ref="AO244:AQ244"/>
    <mergeCell ref="AR244:AT244"/>
    <mergeCell ref="AI243:AJ243"/>
    <mergeCell ref="AK243:AN243"/>
    <mergeCell ref="AO243:AQ243"/>
    <mergeCell ref="AR243:AT243"/>
    <mergeCell ref="AU243:AW243"/>
    <mergeCell ref="AX243:AY243"/>
    <mergeCell ref="AO242:AQ242"/>
    <mergeCell ref="AR242:AT242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Z240:BD240"/>
    <mergeCell ref="C241:U241"/>
    <mergeCell ref="V241:X241"/>
    <mergeCell ref="Y241:AB241"/>
    <mergeCell ref="AC241:AE241"/>
    <mergeCell ref="AF241:AH241"/>
    <mergeCell ref="AI241:AJ241"/>
    <mergeCell ref="AK241:AN241"/>
    <mergeCell ref="AO241:AQ241"/>
    <mergeCell ref="AR241:AT241"/>
    <mergeCell ref="AI240:AJ240"/>
    <mergeCell ref="AK240:AN240"/>
    <mergeCell ref="AO240:AQ240"/>
    <mergeCell ref="AR240:AT240"/>
    <mergeCell ref="AU240:AW240"/>
    <mergeCell ref="AX240:AY240"/>
    <mergeCell ref="AO239:AQ239"/>
    <mergeCell ref="AR239:AT239"/>
    <mergeCell ref="AU239:AW239"/>
    <mergeCell ref="AX239:AY239"/>
    <mergeCell ref="AZ239:BD239"/>
    <mergeCell ref="C240:U240"/>
    <mergeCell ref="V240:X240"/>
    <mergeCell ref="Y240:AB240"/>
    <mergeCell ref="AC240:AE240"/>
    <mergeCell ref="AF240:AH240"/>
    <mergeCell ref="AU238:AW238"/>
    <mergeCell ref="AX238:AY238"/>
    <mergeCell ref="AZ238:BD238"/>
    <mergeCell ref="C239:U239"/>
    <mergeCell ref="V239:X239"/>
    <mergeCell ref="Y239:AB239"/>
    <mergeCell ref="AC239:AE239"/>
    <mergeCell ref="AF239:AH239"/>
    <mergeCell ref="AI239:AJ239"/>
    <mergeCell ref="AK239:AN239"/>
    <mergeCell ref="AZ237:BD237"/>
    <mergeCell ref="C238:U238"/>
    <mergeCell ref="V238:X238"/>
    <mergeCell ref="Y238:AB238"/>
    <mergeCell ref="AC238:AE238"/>
    <mergeCell ref="AF238:AH238"/>
    <mergeCell ref="AI238:AJ238"/>
    <mergeCell ref="AK238:AN238"/>
    <mergeCell ref="AO238:AQ238"/>
    <mergeCell ref="AR238:AT238"/>
    <mergeCell ref="AI237:AJ237"/>
    <mergeCell ref="AK237:AN237"/>
    <mergeCell ref="AO237:AQ237"/>
    <mergeCell ref="AR237:AT237"/>
    <mergeCell ref="AU237:AW237"/>
    <mergeCell ref="AX237:AY237"/>
    <mergeCell ref="AO236:AQ236"/>
    <mergeCell ref="AR236:AT236"/>
    <mergeCell ref="AU236:AW236"/>
    <mergeCell ref="AX236:AY236"/>
    <mergeCell ref="AZ236:BD236"/>
    <mergeCell ref="C237:U237"/>
    <mergeCell ref="V237:X237"/>
    <mergeCell ref="Y237:AB237"/>
    <mergeCell ref="AC237:AE237"/>
    <mergeCell ref="AF237:AH237"/>
    <mergeCell ref="AU235:AW235"/>
    <mergeCell ref="AX235:AY235"/>
    <mergeCell ref="AZ235:BD235"/>
    <mergeCell ref="C236:U236"/>
    <mergeCell ref="V236:X236"/>
    <mergeCell ref="Y236:AB236"/>
    <mergeCell ref="AC236:AE236"/>
    <mergeCell ref="AF236:AH236"/>
    <mergeCell ref="AI236:AJ236"/>
    <mergeCell ref="AK236:AN236"/>
    <mergeCell ref="AZ234:BD234"/>
    <mergeCell ref="C235:U235"/>
    <mergeCell ref="V235:X235"/>
    <mergeCell ref="Y235:AB235"/>
    <mergeCell ref="AC235:AE235"/>
    <mergeCell ref="AF235:AH235"/>
    <mergeCell ref="AI235:AJ235"/>
    <mergeCell ref="AK235:AN235"/>
    <mergeCell ref="AO235:AQ235"/>
    <mergeCell ref="AR235:AT235"/>
    <mergeCell ref="AI234:AJ234"/>
    <mergeCell ref="AK234:AN234"/>
    <mergeCell ref="AO234:AQ234"/>
    <mergeCell ref="AR234:AT234"/>
    <mergeCell ref="AU234:AW234"/>
    <mergeCell ref="AX234:AY234"/>
    <mergeCell ref="AO233:AQ233"/>
    <mergeCell ref="AR233:AT233"/>
    <mergeCell ref="AU233:AW233"/>
    <mergeCell ref="AX233:AY233"/>
    <mergeCell ref="AZ233:BD233"/>
    <mergeCell ref="B234:U234"/>
    <mergeCell ref="V234:X234"/>
    <mergeCell ref="Y234:AB234"/>
    <mergeCell ref="AC234:AE234"/>
    <mergeCell ref="AF234:AH234"/>
    <mergeCell ref="AU232:AW232"/>
    <mergeCell ref="AX232:AY232"/>
    <mergeCell ref="AZ232:BD232"/>
    <mergeCell ref="B233:U233"/>
    <mergeCell ref="V233:X233"/>
    <mergeCell ref="Y233:AB233"/>
    <mergeCell ref="AC233:AE233"/>
    <mergeCell ref="AF233:AH233"/>
    <mergeCell ref="AI233:AJ233"/>
    <mergeCell ref="AK233:AN233"/>
    <mergeCell ref="AZ231:BD231"/>
    <mergeCell ref="B232:U232"/>
    <mergeCell ref="V232:X232"/>
    <mergeCell ref="Y232:AB232"/>
    <mergeCell ref="AC232:AE232"/>
    <mergeCell ref="AF232:AH232"/>
    <mergeCell ref="AI232:AJ232"/>
    <mergeCell ref="AK232:AN232"/>
    <mergeCell ref="AO232:AQ232"/>
    <mergeCell ref="AR232:AT232"/>
    <mergeCell ref="AI231:AJ231"/>
    <mergeCell ref="AK231:AN231"/>
    <mergeCell ref="AO231:AQ231"/>
    <mergeCell ref="AR231:AT231"/>
    <mergeCell ref="AU231:AW231"/>
    <mergeCell ref="AX231:AY231"/>
    <mergeCell ref="AO230:AQ230"/>
    <mergeCell ref="AR230:AT230"/>
    <mergeCell ref="AU230:AW230"/>
    <mergeCell ref="AX230:AY230"/>
    <mergeCell ref="AZ229:BD230"/>
    <mergeCell ref="B231:U231"/>
    <mergeCell ref="V231:X231"/>
    <mergeCell ref="Y231:AB231"/>
    <mergeCell ref="AC231:AE231"/>
    <mergeCell ref="AF231:AH231"/>
    <mergeCell ref="A228:BQ228"/>
    <mergeCell ref="A229:A331"/>
    <mergeCell ref="B229:U230"/>
    <mergeCell ref="V229:X230"/>
    <mergeCell ref="Y229:AY229"/>
    <mergeCell ref="Y230:AB230"/>
    <mergeCell ref="AC230:AE230"/>
    <mergeCell ref="AF230:AH230"/>
    <mergeCell ref="AI230:AJ230"/>
    <mergeCell ref="AK230:AN230"/>
    <mergeCell ref="AW226:AX226"/>
    <mergeCell ref="AY226:AZ226"/>
    <mergeCell ref="BA226:BC226"/>
    <mergeCell ref="BD226:BE226"/>
    <mergeCell ref="BN226:BP226"/>
    <mergeCell ref="A227:L227"/>
    <mergeCell ref="M227:BQ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W218:AX218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T217:AV217"/>
    <mergeCell ref="AW217:AX217"/>
    <mergeCell ref="AY217:AZ217"/>
    <mergeCell ref="BA217:BC217"/>
    <mergeCell ref="BD217:BE217"/>
    <mergeCell ref="BN217:BP217"/>
    <mergeCell ref="AB217:AD217"/>
    <mergeCell ref="AG217:AI217"/>
    <mergeCell ref="AJ217:AK217"/>
    <mergeCell ref="AL217:AM217"/>
    <mergeCell ref="AN217:AO217"/>
    <mergeCell ref="AP217:AR217"/>
    <mergeCell ref="AW216:AX216"/>
    <mergeCell ref="AY216:AZ216"/>
    <mergeCell ref="BA216:BC216"/>
    <mergeCell ref="BD216:BE216"/>
    <mergeCell ref="BN216:BP216"/>
    <mergeCell ref="A217:L217"/>
    <mergeCell ref="M217:O217"/>
    <mergeCell ref="P217:T217"/>
    <mergeCell ref="U217:W217"/>
    <mergeCell ref="X217:AA217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T215:AV215"/>
    <mergeCell ref="AW215:AX215"/>
    <mergeCell ref="AY215:AZ215"/>
    <mergeCell ref="BA215:BC215"/>
    <mergeCell ref="BD215:BE215"/>
    <mergeCell ref="BN215:BP215"/>
    <mergeCell ref="AB215:AD215"/>
    <mergeCell ref="AG215:AI215"/>
    <mergeCell ref="AJ215:AK215"/>
    <mergeCell ref="AL215:AM215"/>
    <mergeCell ref="AN215:AO215"/>
    <mergeCell ref="AP215:AR215"/>
    <mergeCell ref="AW214:AX214"/>
    <mergeCell ref="AY214:AZ214"/>
    <mergeCell ref="BA214:BC214"/>
    <mergeCell ref="BD214:BE214"/>
    <mergeCell ref="BN214:BP214"/>
    <mergeCell ref="A215:L215"/>
    <mergeCell ref="M215:O215"/>
    <mergeCell ref="P215:T215"/>
    <mergeCell ref="U215:W215"/>
    <mergeCell ref="X215:AA215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T213:AV213"/>
    <mergeCell ref="AW213:AX213"/>
    <mergeCell ref="AY213:AZ213"/>
    <mergeCell ref="BA213:BC213"/>
    <mergeCell ref="BD213:BE213"/>
    <mergeCell ref="BN213:BP213"/>
    <mergeCell ref="AB213:AD213"/>
    <mergeCell ref="AG213:AI213"/>
    <mergeCell ref="AJ213:AK213"/>
    <mergeCell ref="AL213:AM213"/>
    <mergeCell ref="AN213:AO213"/>
    <mergeCell ref="AP213:AR213"/>
    <mergeCell ref="AW212:AX212"/>
    <mergeCell ref="AY212:AZ212"/>
    <mergeCell ref="BA212:BC212"/>
    <mergeCell ref="BD212:BE212"/>
    <mergeCell ref="BN212:BP212"/>
    <mergeCell ref="A213:L213"/>
    <mergeCell ref="M213:O213"/>
    <mergeCell ref="P213:T213"/>
    <mergeCell ref="U213:W213"/>
    <mergeCell ref="X213:AA213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L211:AM211"/>
    <mergeCell ref="AN211:AO211"/>
    <mergeCell ref="AP211:AR211"/>
    <mergeCell ref="AT211:AV211"/>
    <mergeCell ref="AW211:AX211"/>
    <mergeCell ref="AY210:BQ210"/>
    <mergeCell ref="AY211:AZ211"/>
    <mergeCell ref="BA211:BC211"/>
    <mergeCell ref="BD211:BE211"/>
    <mergeCell ref="BN211:BP211"/>
    <mergeCell ref="A209:BQ209"/>
    <mergeCell ref="A210:L211"/>
    <mergeCell ref="M210:O211"/>
    <mergeCell ref="P210:T211"/>
    <mergeCell ref="U210:AX210"/>
    <mergeCell ref="U211:W211"/>
    <mergeCell ref="X211:AA211"/>
    <mergeCell ref="AB211:AD211"/>
    <mergeCell ref="AG211:AI211"/>
    <mergeCell ref="AJ211:AK211"/>
    <mergeCell ref="AW207:AX207"/>
    <mergeCell ref="AY207:AZ207"/>
    <mergeCell ref="BA207:BC207"/>
    <mergeCell ref="BD207:BE207"/>
    <mergeCell ref="BN207:BP207"/>
    <mergeCell ref="A208:BQ208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T206:AV206"/>
    <mergeCell ref="AW206:AX206"/>
    <mergeCell ref="AY206:AZ206"/>
    <mergeCell ref="BA206:BC206"/>
    <mergeCell ref="BD206:BE206"/>
    <mergeCell ref="BN206:BP206"/>
    <mergeCell ref="AB206:AD206"/>
    <mergeCell ref="AG206:AI206"/>
    <mergeCell ref="AJ206:AK206"/>
    <mergeCell ref="AL206:AM206"/>
    <mergeCell ref="AN206:AO206"/>
    <mergeCell ref="AP206:AR206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T204:AV204"/>
    <mergeCell ref="AW204:AX204"/>
    <mergeCell ref="AY204:AZ204"/>
    <mergeCell ref="BA204:BC204"/>
    <mergeCell ref="BD204:BE204"/>
    <mergeCell ref="BN204:BP204"/>
    <mergeCell ref="AB204:AD204"/>
    <mergeCell ref="AG204:AI204"/>
    <mergeCell ref="AJ204:AK204"/>
    <mergeCell ref="AL204:AM204"/>
    <mergeCell ref="AN204:AO204"/>
    <mergeCell ref="AP204:AR204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T202:AV202"/>
    <mergeCell ref="AW202:AX202"/>
    <mergeCell ref="AY202:AZ202"/>
    <mergeCell ref="BA202:BC202"/>
    <mergeCell ref="BD202:BE202"/>
    <mergeCell ref="BN202:BP202"/>
    <mergeCell ref="AB202:AD202"/>
    <mergeCell ref="AG202:AI202"/>
    <mergeCell ref="AJ202:AK202"/>
    <mergeCell ref="AL202:AM202"/>
    <mergeCell ref="AN202:AO202"/>
    <mergeCell ref="AP202:AR202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T200:AV200"/>
    <mergeCell ref="AW200:AX200"/>
    <mergeCell ref="AY200:AZ200"/>
    <mergeCell ref="BA200:BC200"/>
    <mergeCell ref="BD200:BE200"/>
    <mergeCell ref="BN200:BP200"/>
    <mergeCell ref="AB200:AD200"/>
    <mergeCell ref="AG200:AI200"/>
    <mergeCell ref="AJ200:AK200"/>
    <mergeCell ref="AL200:AM200"/>
    <mergeCell ref="AN200:AO200"/>
    <mergeCell ref="AP200:AR200"/>
    <mergeCell ref="AW199:AX199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T198:AV198"/>
    <mergeCell ref="AW198:AX198"/>
    <mergeCell ref="AY198:AZ198"/>
    <mergeCell ref="BA198:BC198"/>
    <mergeCell ref="BD198:BE198"/>
    <mergeCell ref="BN198:BP198"/>
    <mergeCell ref="AB198:AD198"/>
    <mergeCell ref="AG198:AI198"/>
    <mergeCell ref="AJ198:AK198"/>
    <mergeCell ref="AL198:AM198"/>
    <mergeCell ref="AN198:AO198"/>
    <mergeCell ref="AP198:AR198"/>
    <mergeCell ref="AW197:AX197"/>
    <mergeCell ref="AY197:AZ197"/>
    <mergeCell ref="BA197:BC197"/>
    <mergeCell ref="BD197:BE197"/>
    <mergeCell ref="BN197:BP197"/>
    <mergeCell ref="A198:L198"/>
    <mergeCell ref="M198:O198"/>
    <mergeCell ref="P198:T198"/>
    <mergeCell ref="U198:W198"/>
    <mergeCell ref="X198:AA198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T196:AV196"/>
    <mergeCell ref="AW196:AX196"/>
    <mergeCell ref="AY196:AZ196"/>
    <mergeCell ref="BA196:BC196"/>
    <mergeCell ref="BD196:BE196"/>
    <mergeCell ref="BN196:BP196"/>
    <mergeCell ref="AB196:AD196"/>
    <mergeCell ref="AG196:AI196"/>
    <mergeCell ref="AJ196:AK196"/>
    <mergeCell ref="AL196:AM196"/>
    <mergeCell ref="AN196:AO196"/>
    <mergeCell ref="AP196:AR196"/>
    <mergeCell ref="AW195:AX195"/>
    <mergeCell ref="AY195:AZ195"/>
    <mergeCell ref="BA195:BC195"/>
    <mergeCell ref="BD195:BE195"/>
    <mergeCell ref="BN195:BP195"/>
    <mergeCell ref="A196:L196"/>
    <mergeCell ref="M196:O196"/>
    <mergeCell ref="P196:T196"/>
    <mergeCell ref="U196:W196"/>
    <mergeCell ref="X196:AA196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T194:AV194"/>
    <mergeCell ref="AW194:AX194"/>
    <mergeCell ref="AY194:AZ194"/>
    <mergeCell ref="BA194:BC194"/>
    <mergeCell ref="BD194:BE194"/>
    <mergeCell ref="BN194:BP194"/>
    <mergeCell ref="AB194:AD194"/>
    <mergeCell ref="AG194:AI194"/>
    <mergeCell ref="AJ194:AK194"/>
    <mergeCell ref="AL194:AM194"/>
    <mergeCell ref="AN194:AO194"/>
    <mergeCell ref="AP194:AR194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T192:AV192"/>
    <mergeCell ref="AW192:AX192"/>
    <mergeCell ref="AY192:AZ192"/>
    <mergeCell ref="BA192:BC192"/>
    <mergeCell ref="BD192:BE192"/>
    <mergeCell ref="BN192:BP192"/>
    <mergeCell ref="AB192:AD192"/>
    <mergeCell ref="AG192:AI192"/>
    <mergeCell ref="AJ192:AK192"/>
    <mergeCell ref="AL192:AM192"/>
    <mergeCell ref="AN192:AO192"/>
    <mergeCell ref="AP192:AR192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T190:AV190"/>
    <mergeCell ref="AW190:AX190"/>
    <mergeCell ref="AY190:AZ190"/>
    <mergeCell ref="BA190:BC190"/>
    <mergeCell ref="BD190:BE190"/>
    <mergeCell ref="BN190:BP190"/>
    <mergeCell ref="AB190:AD190"/>
    <mergeCell ref="AG190:AI190"/>
    <mergeCell ref="AJ190:AK190"/>
    <mergeCell ref="AL190:AM190"/>
    <mergeCell ref="AN190:AO190"/>
    <mergeCell ref="AP190:AR190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T188:AV188"/>
    <mergeCell ref="AW188:AX188"/>
    <mergeCell ref="AY188:AZ188"/>
    <mergeCell ref="BA188:BC188"/>
    <mergeCell ref="BD188:BE188"/>
    <mergeCell ref="BN188:BP188"/>
    <mergeCell ref="AB188:AD188"/>
    <mergeCell ref="AG188:AI188"/>
    <mergeCell ref="AJ188:AK188"/>
    <mergeCell ref="AL188:AM188"/>
    <mergeCell ref="AN188:AO188"/>
    <mergeCell ref="AP188:AR188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T186:AV186"/>
    <mergeCell ref="AW186:AX186"/>
    <mergeCell ref="AY186:AZ186"/>
    <mergeCell ref="BA186:BC186"/>
    <mergeCell ref="BD186:BE186"/>
    <mergeCell ref="BN186:BP186"/>
    <mergeCell ref="AB186:AD186"/>
    <mergeCell ref="AG186:AI186"/>
    <mergeCell ref="AJ186:AK186"/>
    <mergeCell ref="AL186:AM186"/>
    <mergeCell ref="AN186:AO186"/>
    <mergeCell ref="AP186:AR186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T184:AV184"/>
    <mergeCell ref="AW184:AX184"/>
    <mergeCell ref="AY184:AZ184"/>
    <mergeCell ref="BA184:BC184"/>
    <mergeCell ref="BD184:BE184"/>
    <mergeCell ref="BN184:BP184"/>
    <mergeCell ref="AB184:AD184"/>
    <mergeCell ref="AG184:AI184"/>
    <mergeCell ref="AJ184:AK184"/>
    <mergeCell ref="AL184:AM184"/>
    <mergeCell ref="AN184:AO184"/>
    <mergeCell ref="AP184:AR184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T182:AV182"/>
    <mergeCell ref="AW182:AX182"/>
    <mergeCell ref="AY182:AZ182"/>
    <mergeCell ref="BA182:BC182"/>
    <mergeCell ref="BD182:BE182"/>
    <mergeCell ref="BN182:BP182"/>
    <mergeCell ref="AB182:AD182"/>
    <mergeCell ref="AG182:AI182"/>
    <mergeCell ref="AJ182:AK182"/>
    <mergeCell ref="AL182:AM182"/>
    <mergeCell ref="AN182:AO182"/>
    <mergeCell ref="AP182:AR182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T180:AV180"/>
    <mergeCell ref="AW180:AX180"/>
    <mergeCell ref="AY180:AZ180"/>
    <mergeCell ref="BA180:BC180"/>
    <mergeCell ref="BD180:BE180"/>
    <mergeCell ref="BN180:BP180"/>
    <mergeCell ref="AB180:AD180"/>
    <mergeCell ref="AG180:AI180"/>
    <mergeCell ref="AJ180:AK180"/>
    <mergeCell ref="AL180:AM180"/>
    <mergeCell ref="AN180:AO180"/>
    <mergeCell ref="AP180:AR180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T178:AV178"/>
    <mergeCell ref="AW178:AX178"/>
    <mergeCell ref="AY178:AZ178"/>
    <mergeCell ref="BA178:BC178"/>
    <mergeCell ref="BD178:BE178"/>
    <mergeCell ref="BN178:BP178"/>
    <mergeCell ref="AB178:AD178"/>
    <mergeCell ref="AG178:AI178"/>
    <mergeCell ref="AJ178:AK178"/>
    <mergeCell ref="AL178:AM178"/>
    <mergeCell ref="AN178:AO178"/>
    <mergeCell ref="AP178:AR178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T176:AV176"/>
    <mergeCell ref="AW176:AX176"/>
    <mergeCell ref="AY176:AZ176"/>
    <mergeCell ref="BA176:BC176"/>
    <mergeCell ref="BD176:BE176"/>
    <mergeCell ref="BN176:BP176"/>
    <mergeCell ref="AB176:AD176"/>
    <mergeCell ref="AG176:AI176"/>
    <mergeCell ref="AJ176:AK176"/>
    <mergeCell ref="AL176:AM176"/>
    <mergeCell ref="AN176:AO176"/>
    <mergeCell ref="AP176:AR176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T174:AV174"/>
    <mergeCell ref="AW174:AX174"/>
    <mergeCell ref="AY174:AZ174"/>
    <mergeCell ref="BA174:BC174"/>
    <mergeCell ref="BD174:BE174"/>
    <mergeCell ref="BN174:BP174"/>
    <mergeCell ref="AB174:AD174"/>
    <mergeCell ref="AG174:AI174"/>
    <mergeCell ref="AJ174:AK174"/>
    <mergeCell ref="AL174:AM174"/>
    <mergeCell ref="AN174:AO174"/>
    <mergeCell ref="AP174:AR174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T172:AV172"/>
    <mergeCell ref="AW172:AX172"/>
    <mergeCell ref="AY172:AZ172"/>
    <mergeCell ref="BA172:BC172"/>
    <mergeCell ref="BD172:BE172"/>
    <mergeCell ref="BN172:BP172"/>
    <mergeCell ref="AB172:AD172"/>
    <mergeCell ref="AG172:AI172"/>
    <mergeCell ref="AJ172:AK172"/>
    <mergeCell ref="AL172:AM172"/>
    <mergeCell ref="AN172:AO172"/>
    <mergeCell ref="AP172:AR172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T170:AV170"/>
    <mergeCell ref="AW170:AX170"/>
    <mergeCell ref="AY170:AZ170"/>
    <mergeCell ref="BA170:BC170"/>
    <mergeCell ref="BD170:BE170"/>
    <mergeCell ref="BN170:BP170"/>
    <mergeCell ref="AB170:AD170"/>
    <mergeCell ref="AG170:AI170"/>
    <mergeCell ref="AJ170:AK170"/>
    <mergeCell ref="AL170:AM170"/>
    <mergeCell ref="AN170:AO170"/>
    <mergeCell ref="AP170:AR170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T168:AV168"/>
    <mergeCell ref="AW168:AX168"/>
    <mergeCell ref="AY168:AZ168"/>
    <mergeCell ref="BA168:BC168"/>
    <mergeCell ref="BD168:BE168"/>
    <mergeCell ref="BN168:BP168"/>
    <mergeCell ref="AB168:AD168"/>
    <mergeCell ref="AG168:AI168"/>
    <mergeCell ref="AJ168:AK168"/>
    <mergeCell ref="AL168:AM168"/>
    <mergeCell ref="AN168:AO168"/>
    <mergeCell ref="AP168:AR168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T166:AV166"/>
    <mergeCell ref="AW166:AX166"/>
    <mergeCell ref="AY166:AZ166"/>
    <mergeCell ref="BA166:BC166"/>
    <mergeCell ref="BD166:BE166"/>
    <mergeCell ref="BN166:BP166"/>
    <mergeCell ref="AB166:AD166"/>
    <mergeCell ref="AG166:AI166"/>
    <mergeCell ref="AJ166:AK166"/>
    <mergeCell ref="AL166:AM166"/>
    <mergeCell ref="AN166:AO166"/>
    <mergeCell ref="AP166:AR166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T164:AV164"/>
    <mergeCell ref="AW164:AX164"/>
    <mergeCell ref="AY164:AZ164"/>
    <mergeCell ref="BA164:BC164"/>
    <mergeCell ref="BD164:BE164"/>
    <mergeCell ref="BN164:BP164"/>
    <mergeCell ref="AB164:AD164"/>
    <mergeCell ref="AG164:AI164"/>
    <mergeCell ref="AJ164:AK164"/>
    <mergeCell ref="AL164:AM164"/>
    <mergeCell ref="AN164:AO164"/>
    <mergeCell ref="AP164:AR164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T162:AV162"/>
    <mergeCell ref="AW162:AX162"/>
    <mergeCell ref="AY162:AZ162"/>
    <mergeCell ref="BA162:BC162"/>
    <mergeCell ref="BD162:BE162"/>
    <mergeCell ref="BN162:BP162"/>
    <mergeCell ref="AB162:AD162"/>
    <mergeCell ref="AG162:AI162"/>
    <mergeCell ref="AJ162:AK162"/>
    <mergeCell ref="AL162:AM162"/>
    <mergeCell ref="AN162:AO162"/>
    <mergeCell ref="AP162:AR162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T160:AV160"/>
    <mergeCell ref="AW160:AX160"/>
    <mergeCell ref="AY160:AZ160"/>
    <mergeCell ref="BA160:BC160"/>
    <mergeCell ref="BD160:BE160"/>
    <mergeCell ref="BN160:BP160"/>
    <mergeCell ref="AB160:AD160"/>
    <mergeCell ref="AG160:AI160"/>
    <mergeCell ref="AJ160:AK160"/>
    <mergeCell ref="AL160:AM160"/>
    <mergeCell ref="AN160:AO160"/>
    <mergeCell ref="AP160:AR160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T158:AV158"/>
    <mergeCell ref="AW158:AX158"/>
    <mergeCell ref="AY158:AZ158"/>
    <mergeCell ref="BA158:BC158"/>
    <mergeCell ref="BD158:BE158"/>
    <mergeCell ref="BN158:BP158"/>
    <mergeCell ref="AB158:AD158"/>
    <mergeCell ref="AG158:AI158"/>
    <mergeCell ref="AJ158:AK158"/>
    <mergeCell ref="AL158:AM158"/>
    <mergeCell ref="AN158:AO158"/>
    <mergeCell ref="AP158:AR158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T156:AV156"/>
    <mergeCell ref="AW156:AX156"/>
    <mergeCell ref="AY156:AZ156"/>
    <mergeCell ref="BA156:BC156"/>
    <mergeCell ref="BD156:BE156"/>
    <mergeCell ref="BN156:BP156"/>
    <mergeCell ref="AB156:AD156"/>
    <mergeCell ref="AG156:AI156"/>
    <mergeCell ref="AJ156:AK156"/>
    <mergeCell ref="AL156:AM156"/>
    <mergeCell ref="AN156:AO156"/>
    <mergeCell ref="AP156:AR156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T154:AV154"/>
    <mergeCell ref="AW154:AX154"/>
    <mergeCell ref="AY154:AZ154"/>
    <mergeCell ref="BA154:BC154"/>
    <mergeCell ref="BD154:BE154"/>
    <mergeCell ref="BN154:BP154"/>
    <mergeCell ref="AB154:AD154"/>
    <mergeCell ref="AG154:AI154"/>
    <mergeCell ref="AJ154:AK154"/>
    <mergeCell ref="AL154:AM154"/>
    <mergeCell ref="AN154:AO154"/>
    <mergeCell ref="AP154:AR154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T152:AV152"/>
    <mergeCell ref="AW152:AX152"/>
    <mergeCell ref="AY152:AZ152"/>
    <mergeCell ref="BA152:BC152"/>
    <mergeCell ref="BD152:BE152"/>
    <mergeCell ref="BN152:BP152"/>
    <mergeCell ref="AB152:AD152"/>
    <mergeCell ref="AG152:AI152"/>
    <mergeCell ref="AJ152:AK152"/>
    <mergeCell ref="AL152:AM152"/>
    <mergeCell ref="AN152:AO152"/>
    <mergeCell ref="AP152:AR152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T150:AV150"/>
    <mergeCell ref="AW150:AX150"/>
    <mergeCell ref="AY150:AZ150"/>
    <mergeCell ref="BA150:BC150"/>
    <mergeCell ref="BD150:BE150"/>
    <mergeCell ref="BN150:BP150"/>
    <mergeCell ref="AB150:AD150"/>
    <mergeCell ref="AG150:AI150"/>
    <mergeCell ref="AJ150:AK150"/>
    <mergeCell ref="AL150:AM150"/>
    <mergeCell ref="AN150:AO150"/>
    <mergeCell ref="AP150:AR150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T148:AV148"/>
    <mergeCell ref="AW148:AX148"/>
    <mergeCell ref="AY148:AZ148"/>
    <mergeCell ref="BA148:BC148"/>
    <mergeCell ref="BD148:BE148"/>
    <mergeCell ref="BN148:BP148"/>
    <mergeCell ref="AB148:AD148"/>
    <mergeCell ref="AG148:AI148"/>
    <mergeCell ref="AJ148:AK148"/>
    <mergeCell ref="AL148:AM148"/>
    <mergeCell ref="AN148:AO148"/>
    <mergeCell ref="AP148:AR148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T146:AV146"/>
    <mergeCell ref="AW146:AX146"/>
    <mergeCell ref="AY146:AZ146"/>
    <mergeCell ref="BA146:BC146"/>
    <mergeCell ref="BD146:BE146"/>
    <mergeCell ref="BN146:BP146"/>
    <mergeCell ref="AB146:AD146"/>
    <mergeCell ref="AG146:AI146"/>
    <mergeCell ref="AJ146:AK146"/>
    <mergeCell ref="AL146:AM146"/>
    <mergeCell ref="AN146:AO146"/>
    <mergeCell ref="AP146:AR146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T144:AV144"/>
    <mergeCell ref="AW144:AX144"/>
    <mergeCell ref="AY144:AZ144"/>
    <mergeCell ref="BA144:BC144"/>
    <mergeCell ref="BD144:BE144"/>
    <mergeCell ref="BN144:BP144"/>
    <mergeCell ref="AB144:AD144"/>
    <mergeCell ref="AG144:AI144"/>
    <mergeCell ref="AJ144:AK144"/>
    <mergeCell ref="AL144:AM144"/>
    <mergeCell ref="AN144:AO144"/>
    <mergeCell ref="AP144:AR144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T142:AV142"/>
    <mergeCell ref="AW142:AX142"/>
    <mergeCell ref="AY142:AZ142"/>
    <mergeCell ref="BA142:BC142"/>
    <mergeCell ref="BD142:BE142"/>
    <mergeCell ref="BN142:BP142"/>
    <mergeCell ref="AB142:AD142"/>
    <mergeCell ref="AG142:AI142"/>
    <mergeCell ref="AJ142:AK142"/>
    <mergeCell ref="AL142:AM142"/>
    <mergeCell ref="AN142:AO142"/>
    <mergeCell ref="AP142:AR142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T140:AV140"/>
    <mergeCell ref="AW140:AX140"/>
    <mergeCell ref="AY140:AZ140"/>
    <mergeCell ref="BA140:BC140"/>
    <mergeCell ref="BD140:BE140"/>
    <mergeCell ref="BN140:BP140"/>
    <mergeCell ref="AB140:AD140"/>
    <mergeCell ref="AG140:AI140"/>
    <mergeCell ref="AJ140:AK140"/>
    <mergeCell ref="AL140:AM140"/>
    <mergeCell ref="AN140:AO140"/>
    <mergeCell ref="AP140:AR140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T138:AV138"/>
    <mergeCell ref="AW138:AX138"/>
    <mergeCell ref="AY138:AZ138"/>
    <mergeCell ref="BA138:BC138"/>
    <mergeCell ref="BD138:BE138"/>
    <mergeCell ref="BN138:BP138"/>
    <mergeCell ref="AB138:AD138"/>
    <mergeCell ref="AG138:AI138"/>
    <mergeCell ref="AJ138:AK138"/>
    <mergeCell ref="AL138:AM138"/>
    <mergeCell ref="AN138:AO138"/>
    <mergeCell ref="AP138:AR138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T136:AV136"/>
    <mergeCell ref="AW136:AX136"/>
    <mergeCell ref="AY136:AZ136"/>
    <mergeCell ref="BA136:BC136"/>
    <mergeCell ref="BD136:BE136"/>
    <mergeCell ref="BN136:BP136"/>
    <mergeCell ref="AB136:AD136"/>
    <mergeCell ref="AG136:AI136"/>
    <mergeCell ref="AJ136:AK136"/>
    <mergeCell ref="AL136:AM136"/>
    <mergeCell ref="AN136:AO136"/>
    <mergeCell ref="AP136:AR136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T134:AV134"/>
    <mergeCell ref="AW134:AX134"/>
    <mergeCell ref="AY134:AZ134"/>
    <mergeCell ref="BA134:BC134"/>
    <mergeCell ref="BD134:BE134"/>
    <mergeCell ref="BN134:BP134"/>
    <mergeCell ref="AB134:AD134"/>
    <mergeCell ref="AG134:AI134"/>
    <mergeCell ref="AJ134:AK134"/>
    <mergeCell ref="AL134:AM134"/>
    <mergeCell ref="AN134:AO134"/>
    <mergeCell ref="AP134:AR134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T132:AV132"/>
    <mergeCell ref="AW132:AX132"/>
    <mergeCell ref="AY132:AZ132"/>
    <mergeCell ref="BA132:BC132"/>
    <mergeCell ref="BD132:BE132"/>
    <mergeCell ref="BN132:BP132"/>
    <mergeCell ref="AB132:AD132"/>
    <mergeCell ref="AG132:AI132"/>
    <mergeCell ref="AJ132:AK132"/>
    <mergeCell ref="AL132:AM132"/>
    <mergeCell ref="AN132:AO132"/>
    <mergeCell ref="AP132:AR132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T130:AV130"/>
    <mergeCell ref="AW130:AX130"/>
    <mergeCell ref="AY130:AZ130"/>
    <mergeCell ref="BA130:BC130"/>
    <mergeCell ref="BD130:BE130"/>
    <mergeCell ref="BN130:BP130"/>
    <mergeCell ref="AB130:AD130"/>
    <mergeCell ref="AG130:AI130"/>
    <mergeCell ref="AJ130:AK130"/>
    <mergeCell ref="AL130:AM130"/>
    <mergeCell ref="AN130:AO130"/>
    <mergeCell ref="AP130:AR130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T128:AV128"/>
    <mergeCell ref="AW128:AX128"/>
    <mergeCell ref="AY128:AZ128"/>
    <mergeCell ref="BA128:BC128"/>
    <mergeCell ref="BD128:BE128"/>
    <mergeCell ref="BN128:BP128"/>
    <mergeCell ref="AB128:AD128"/>
    <mergeCell ref="AG128:AI128"/>
    <mergeCell ref="AJ128:AK128"/>
    <mergeCell ref="AL128:AM128"/>
    <mergeCell ref="AN128:AO128"/>
    <mergeCell ref="AP128:AR128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T126:AV126"/>
    <mergeCell ref="AW126:AX126"/>
    <mergeCell ref="AY126:AZ126"/>
    <mergeCell ref="BA126:BC126"/>
    <mergeCell ref="BD126:BE126"/>
    <mergeCell ref="BN126:BP126"/>
    <mergeCell ref="AB126:AD126"/>
    <mergeCell ref="AG126:AI126"/>
    <mergeCell ref="AJ126:AK126"/>
    <mergeCell ref="AL126:AM126"/>
    <mergeCell ref="AN126:AO126"/>
    <mergeCell ref="AP126:AR126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T124:AV124"/>
    <mergeCell ref="AW124:AX124"/>
    <mergeCell ref="AY124:AZ124"/>
    <mergeCell ref="BA124:BC124"/>
    <mergeCell ref="BD124:BE124"/>
    <mergeCell ref="BN124:BP124"/>
    <mergeCell ref="AB124:AD124"/>
    <mergeCell ref="AG124:AI124"/>
    <mergeCell ref="AJ124:AK124"/>
    <mergeCell ref="AL124:AM124"/>
    <mergeCell ref="AN124:AO124"/>
    <mergeCell ref="AP124:AR124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T122:AV122"/>
    <mergeCell ref="AW122:AX122"/>
    <mergeCell ref="AY122:AZ122"/>
    <mergeCell ref="BA122:BC122"/>
    <mergeCell ref="BD122:BE122"/>
    <mergeCell ref="BN122:BP122"/>
    <mergeCell ref="AB122:AD122"/>
    <mergeCell ref="AG122:AI122"/>
    <mergeCell ref="AJ122:AK122"/>
    <mergeCell ref="AL122:AM122"/>
    <mergeCell ref="AN122:AO122"/>
    <mergeCell ref="AP122:AR122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T120:AV120"/>
    <mergeCell ref="AW120:AX120"/>
    <mergeCell ref="AY120:AZ120"/>
    <mergeCell ref="BA120:BC120"/>
    <mergeCell ref="BD120:BE120"/>
    <mergeCell ref="BN120:BP120"/>
    <mergeCell ref="AB120:AD120"/>
    <mergeCell ref="AG120:AI120"/>
    <mergeCell ref="AJ120:AK120"/>
    <mergeCell ref="AL120:AM120"/>
    <mergeCell ref="AN120:AO120"/>
    <mergeCell ref="AP120:AR120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T118:AV118"/>
    <mergeCell ref="AW118:AX118"/>
    <mergeCell ref="AY118:AZ118"/>
    <mergeCell ref="BA118:BC118"/>
    <mergeCell ref="BD118:BE118"/>
    <mergeCell ref="BN118:BP118"/>
    <mergeCell ref="AB118:AD118"/>
    <mergeCell ref="AG118:AI118"/>
    <mergeCell ref="AJ118:AK118"/>
    <mergeCell ref="AL118:AM118"/>
    <mergeCell ref="AN118:AO118"/>
    <mergeCell ref="AP118:AR118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T116:AV116"/>
    <mergeCell ref="AW116:AX116"/>
    <mergeCell ref="AY116:AZ116"/>
    <mergeCell ref="BA116:BC116"/>
    <mergeCell ref="BD116:BE116"/>
    <mergeCell ref="BN116:BP116"/>
    <mergeCell ref="AB116:AD116"/>
    <mergeCell ref="AG116:AI116"/>
    <mergeCell ref="AJ116:AK116"/>
    <mergeCell ref="AL116:AM116"/>
    <mergeCell ref="AN116:AO116"/>
    <mergeCell ref="AP116:AR116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T114:AV114"/>
    <mergeCell ref="AW114:AX114"/>
    <mergeCell ref="AY114:AZ114"/>
    <mergeCell ref="BA114:BC114"/>
    <mergeCell ref="BD114:BE114"/>
    <mergeCell ref="BN114:BP114"/>
    <mergeCell ref="AB114:AD114"/>
    <mergeCell ref="AG114:AI114"/>
    <mergeCell ref="AJ114:AK114"/>
    <mergeCell ref="AL114:AM114"/>
    <mergeCell ref="AN114:AO114"/>
    <mergeCell ref="AP114:AR114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T112:AV112"/>
    <mergeCell ref="AW112:AX112"/>
    <mergeCell ref="AY112:AZ112"/>
    <mergeCell ref="BA112:BC112"/>
    <mergeCell ref="BD112:BE112"/>
    <mergeCell ref="BN112:BP112"/>
    <mergeCell ref="AB112:AD112"/>
    <mergeCell ref="AG112:AI112"/>
    <mergeCell ref="AJ112:AK112"/>
    <mergeCell ref="AL112:AM112"/>
    <mergeCell ref="AN112:AO112"/>
    <mergeCell ref="AP112:AR112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T110:AV110"/>
    <mergeCell ref="AW110:AX110"/>
    <mergeCell ref="AY110:AZ110"/>
    <mergeCell ref="BA110:BC110"/>
    <mergeCell ref="BD110:BE110"/>
    <mergeCell ref="BN110:BP110"/>
    <mergeCell ref="AB110:AD110"/>
    <mergeCell ref="AG110:AI110"/>
    <mergeCell ref="AJ110:AK110"/>
    <mergeCell ref="AL110:AM110"/>
    <mergeCell ref="AN110:AO110"/>
    <mergeCell ref="AP110:AR110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T108:AV108"/>
    <mergeCell ref="AW108:AX108"/>
    <mergeCell ref="AY108:AZ108"/>
    <mergeCell ref="BA108:BC108"/>
    <mergeCell ref="BD108:BE108"/>
    <mergeCell ref="BN108:BP108"/>
    <mergeCell ref="AB108:AD108"/>
    <mergeCell ref="AG108:AI108"/>
    <mergeCell ref="AJ108:AK108"/>
    <mergeCell ref="AL108:AM108"/>
    <mergeCell ref="AN108:AO108"/>
    <mergeCell ref="AP108:AR108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T106:AV106"/>
    <mergeCell ref="AW106:AX106"/>
    <mergeCell ref="AY106:AZ106"/>
    <mergeCell ref="BA106:BC106"/>
    <mergeCell ref="BD106:BE106"/>
    <mergeCell ref="BN106:BP106"/>
    <mergeCell ref="AB106:AD106"/>
    <mergeCell ref="AG106:AI106"/>
    <mergeCell ref="AJ106:AK106"/>
    <mergeCell ref="AL106:AM106"/>
    <mergeCell ref="AN106:AO106"/>
    <mergeCell ref="AP106:AR106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T104:AV104"/>
    <mergeCell ref="AW104:AX104"/>
    <mergeCell ref="AY104:AZ104"/>
    <mergeCell ref="BA104:BC104"/>
    <mergeCell ref="BD104:BE104"/>
    <mergeCell ref="BN104:BP104"/>
    <mergeCell ref="AB104:AD104"/>
    <mergeCell ref="AG104:AI104"/>
    <mergeCell ref="AJ104:AK104"/>
    <mergeCell ref="AL104:AM104"/>
    <mergeCell ref="AN104:AO104"/>
    <mergeCell ref="AP104:AR104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T102:AV102"/>
    <mergeCell ref="AW102:AX102"/>
    <mergeCell ref="AY102:AZ102"/>
    <mergeCell ref="BA102:BC102"/>
    <mergeCell ref="BD102:BE102"/>
    <mergeCell ref="BN102:BP102"/>
    <mergeCell ref="AB102:AD102"/>
    <mergeCell ref="AG102:AI102"/>
    <mergeCell ref="AJ102:AK102"/>
    <mergeCell ref="AL102:AM102"/>
    <mergeCell ref="AN102:AO102"/>
    <mergeCell ref="AP102:AR102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T100:AV100"/>
    <mergeCell ref="AW100:AX100"/>
    <mergeCell ref="AY100:AZ100"/>
    <mergeCell ref="BA100:BC100"/>
    <mergeCell ref="BD100:BE100"/>
    <mergeCell ref="BN100:BP100"/>
    <mergeCell ref="AB100:AD100"/>
    <mergeCell ref="AG100:AI100"/>
    <mergeCell ref="AJ100:AK100"/>
    <mergeCell ref="AL100:AM100"/>
    <mergeCell ref="AN100:AO100"/>
    <mergeCell ref="AP100:AR100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T98:AV98"/>
    <mergeCell ref="AW98:AX98"/>
    <mergeCell ref="AY98:AZ98"/>
    <mergeCell ref="BA98:BC98"/>
    <mergeCell ref="BD98:BE98"/>
    <mergeCell ref="BN98:BP98"/>
    <mergeCell ref="AB98:AD98"/>
    <mergeCell ref="AG98:AI98"/>
    <mergeCell ref="AJ98:AK98"/>
    <mergeCell ref="AL98:AM98"/>
    <mergeCell ref="AN98:AO98"/>
    <mergeCell ref="AP98:AR98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T96:AV96"/>
    <mergeCell ref="AW96:AX96"/>
    <mergeCell ref="AY96:AZ96"/>
    <mergeCell ref="BA96:BC96"/>
    <mergeCell ref="BD96:BE96"/>
    <mergeCell ref="BN96:BP96"/>
    <mergeCell ref="AB96:AD96"/>
    <mergeCell ref="AG96:AI96"/>
    <mergeCell ref="AJ96:AK96"/>
    <mergeCell ref="AL96:AM96"/>
    <mergeCell ref="AN96:AO96"/>
    <mergeCell ref="AP96:AR96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T94:AV94"/>
    <mergeCell ref="AW94:AX94"/>
    <mergeCell ref="AY94:AZ94"/>
    <mergeCell ref="BA94:BC94"/>
    <mergeCell ref="BD94:BE94"/>
    <mergeCell ref="BN94:BP94"/>
    <mergeCell ref="AB94:AD94"/>
    <mergeCell ref="AG94:AI94"/>
    <mergeCell ref="AJ94:AK94"/>
    <mergeCell ref="AL94:AM94"/>
    <mergeCell ref="AN94:AO94"/>
    <mergeCell ref="AP94:AR94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T92:AV92"/>
    <mergeCell ref="AW92:AX92"/>
    <mergeCell ref="AY92:AZ92"/>
    <mergeCell ref="BA92:BC92"/>
    <mergeCell ref="BD92:BE92"/>
    <mergeCell ref="BN92:BP92"/>
    <mergeCell ref="AB92:AD92"/>
    <mergeCell ref="AG92:AI92"/>
    <mergeCell ref="AJ92:AK92"/>
    <mergeCell ref="AL92:AM92"/>
    <mergeCell ref="AN92:AO92"/>
    <mergeCell ref="AP92:AR92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T90:AV90"/>
    <mergeCell ref="AW90:AX90"/>
    <mergeCell ref="AY90:AZ90"/>
    <mergeCell ref="BA90:BC90"/>
    <mergeCell ref="BD90:BE90"/>
    <mergeCell ref="BN90:BP90"/>
    <mergeCell ref="AB90:AD90"/>
    <mergeCell ref="AG90:AI90"/>
    <mergeCell ref="AJ90:AK90"/>
    <mergeCell ref="AL90:AM90"/>
    <mergeCell ref="AN90:AO90"/>
    <mergeCell ref="AP90:AR90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T88:AV88"/>
    <mergeCell ref="AW88:AX88"/>
    <mergeCell ref="AY88:AZ88"/>
    <mergeCell ref="BA88:BC88"/>
    <mergeCell ref="BD88:BE88"/>
    <mergeCell ref="BN88:BP88"/>
    <mergeCell ref="AB88:AD88"/>
    <mergeCell ref="AG88:AI88"/>
    <mergeCell ref="AJ88:AK88"/>
    <mergeCell ref="AL88:AM88"/>
    <mergeCell ref="AN88:AO88"/>
    <mergeCell ref="AP88:AR88"/>
    <mergeCell ref="AW87:AX87"/>
    <mergeCell ref="AY87:AZ87"/>
    <mergeCell ref="BA87:BC87"/>
    <mergeCell ref="BD87:BE87"/>
    <mergeCell ref="BN87:BP87"/>
    <mergeCell ref="A88:L88"/>
    <mergeCell ref="M88:O88"/>
    <mergeCell ref="P88:T88"/>
    <mergeCell ref="U88:W88"/>
    <mergeCell ref="X88:AA88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T86:AV86"/>
    <mergeCell ref="AW86:AX86"/>
    <mergeCell ref="AY86:AZ86"/>
    <mergeCell ref="BA86:BC86"/>
    <mergeCell ref="BD86:BE86"/>
    <mergeCell ref="BN86:BP86"/>
    <mergeCell ref="AB86:AD86"/>
    <mergeCell ref="AG86:AI86"/>
    <mergeCell ref="AJ86:AK86"/>
    <mergeCell ref="AL86:AM86"/>
    <mergeCell ref="AN86:AO86"/>
    <mergeCell ref="AP86:AR86"/>
    <mergeCell ref="AW85:AX85"/>
    <mergeCell ref="AY85:AZ85"/>
    <mergeCell ref="BA85:BC85"/>
    <mergeCell ref="BD85:BE85"/>
    <mergeCell ref="BN85:BP85"/>
    <mergeCell ref="A86:L86"/>
    <mergeCell ref="M86:O86"/>
    <mergeCell ref="P86:T86"/>
    <mergeCell ref="U86:W86"/>
    <mergeCell ref="X86:AA86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T84:AV84"/>
    <mergeCell ref="AW84:AX84"/>
    <mergeCell ref="AY84:AZ84"/>
    <mergeCell ref="BA84:BC84"/>
    <mergeCell ref="BD84:BE84"/>
    <mergeCell ref="BN84:BP84"/>
    <mergeCell ref="AB84:AD84"/>
    <mergeCell ref="AG84:AI84"/>
    <mergeCell ref="AJ84:AK84"/>
    <mergeCell ref="AL84:AM84"/>
    <mergeCell ref="AN84:AO84"/>
    <mergeCell ref="AP84:AR84"/>
    <mergeCell ref="AW83:AX83"/>
    <mergeCell ref="AY83:AZ83"/>
    <mergeCell ref="BA83:BC83"/>
    <mergeCell ref="BD83:BE83"/>
    <mergeCell ref="BN83:BP83"/>
    <mergeCell ref="A84:L84"/>
    <mergeCell ref="M84:O84"/>
    <mergeCell ref="P84:T84"/>
    <mergeCell ref="U84:W84"/>
    <mergeCell ref="X84:AA84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T82:AV82"/>
    <mergeCell ref="AW82:AX82"/>
    <mergeCell ref="AY82:AZ82"/>
    <mergeCell ref="BA82:BC82"/>
    <mergeCell ref="BD82:BE82"/>
    <mergeCell ref="BN82:BP82"/>
    <mergeCell ref="AB82:AD82"/>
    <mergeCell ref="AG82:AI82"/>
    <mergeCell ref="AJ82:AK82"/>
    <mergeCell ref="AL82:AM82"/>
    <mergeCell ref="AN82:AO82"/>
    <mergeCell ref="AP82:AR82"/>
    <mergeCell ref="AW81:AX81"/>
    <mergeCell ref="AY81:AZ81"/>
    <mergeCell ref="BA81:BC81"/>
    <mergeCell ref="BD81:BE81"/>
    <mergeCell ref="BN81:BP81"/>
    <mergeCell ref="A82:L82"/>
    <mergeCell ref="M82:O82"/>
    <mergeCell ref="P82:T82"/>
    <mergeCell ref="U82:W82"/>
    <mergeCell ref="X82:AA82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T80:AV80"/>
    <mergeCell ref="AW80:AX80"/>
    <mergeCell ref="AY80:AZ80"/>
    <mergeCell ref="BA80:BC80"/>
    <mergeCell ref="BD80:BE80"/>
    <mergeCell ref="BN80:BP80"/>
    <mergeCell ref="AB80:AD80"/>
    <mergeCell ref="AG80:AI80"/>
    <mergeCell ref="AJ80:AK80"/>
    <mergeCell ref="AL80:AM80"/>
    <mergeCell ref="AN80:AO80"/>
    <mergeCell ref="AP80:AR80"/>
    <mergeCell ref="AW79:AX79"/>
    <mergeCell ref="AY79:AZ79"/>
    <mergeCell ref="BA79:BC79"/>
    <mergeCell ref="BD79:BE79"/>
    <mergeCell ref="BN79:BP79"/>
    <mergeCell ref="A80:L80"/>
    <mergeCell ref="M80:O80"/>
    <mergeCell ref="P80:T80"/>
    <mergeCell ref="U80:W80"/>
    <mergeCell ref="X80:AA80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L78:AM78"/>
    <mergeCell ref="AN78:AO78"/>
    <mergeCell ref="AP78:AR78"/>
    <mergeCell ref="AT78:AV78"/>
    <mergeCell ref="AW78:AX78"/>
    <mergeCell ref="AY77:BQ77"/>
    <mergeCell ref="AY78:AZ78"/>
    <mergeCell ref="BA78:BC78"/>
    <mergeCell ref="BD78:BE78"/>
    <mergeCell ref="BN78:BP78"/>
    <mergeCell ref="A76:BQ76"/>
    <mergeCell ref="A77:L78"/>
    <mergeCell ref="M77:O78"/>
    <mergeCell ref="P77:T78"/>
    <mergeCell ref="U77:AX77"/>
    <mergeCell ref="U78:W78"/>
    <mergeCell ref="X78:AA78"/>
    <mergeCell ref="AB78:AD78"/>
    <mergeCell ref="AG78:AI78"/>
    <mergeCell ref="AJ78:AK78"/>
    <mergeCell ref="AW74:AX74"/>
    <mergeCell ref="AY74:AZ74"/>
    <mergeCell ref="BA74:BC74"/>
    <mergeCell ref="BD74:BE74"/>
    <mergeCell ref="BN74:BP74"/>
    <mergeCell ref="A75:L75"/>
    <mergeCell ref="M75:BQ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08" max="255" man="1"/>
    <brk id="227" max="255" man="1"/>
    <brk id="227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2021-04-07T10:32:25Z</dcterms:created>
  <dcterms:modified xsi:type="dcterms:W3CDTF">2021-04-07T10:32:25Z</dcterms:modified>
  <cp:category/>
  <cp:version/>
  <cp:contentType/>
  <cp:contentStatus/>
</cp:coreProperties>
</file>