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<sst xmlns="http://schemas.openxmlformats.org/spreadsheetml/2006/main" count="7435" uniqueCount="580">
  <si>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</si>
  <si>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</si>
  <si>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</si>
  <si>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</si>
  <si>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июля 2022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</si>
  <si>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</si>
  <si>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</si>
  <si>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</si>
  <si>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</si>
  <si>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</si>
  <si>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</si>
  <si>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</si>
  <si>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</si>
  <si>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</si>
  <si>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</si>
  <si>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</si>
  <si>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</si>
  <si>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</si>
  <si>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</si>
  <si>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</si>
  <si>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</si>
  <si>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</si>
  <si>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</si>
  <si>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</si>
  <si>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</si>
  <si>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</si>
  <si>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</si>
  <si>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</si>
  <si>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</si>
  <si>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</si>
  <si>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</si>
  <si>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</si>
  <si>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</si>
  <si>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</si>
  <si>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</si>
  <si>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</si>
  <si>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</si>
  <si>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</si>
  <si>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</si>
  <si>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</si>
  <si>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</si>
  <si>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</si>
  <si>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</si>
  <si>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</si>
  <si>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</si>
  <si>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</si>
  <si>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</si>
  <si>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</si>
  <si>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</si>
  <si>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</si>
  <si>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</si>
  <si>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</si>
  <si>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</si>
  <si>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</si>
  <si>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</si>
  <si>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</si>
  <si>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</si>
  <si>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</si>
  <si>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</si>
  <si>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</si>
  <si>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</si>
  <si>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</si>
  <si>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</si>
  <si>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</si>
  <si>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</si>
  <si>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</si>
  <si>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</si>
  <si>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</si>
  <si>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</si>
  <si>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</si>
  <si>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</si>
  <si>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</si>
  <si>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</si>
  <si>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</si>
  <si>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</si>
  <si>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</si>
  <si>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</si>
  <si>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</si>
  <si>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</si>
  <si>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</si>
  <si>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</si>
  <si>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</si>
  <si>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</si>
  <si>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</si>
  <si>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</si>
  <si>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</si>
  <si>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</si>
  <si>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</si>
  <si>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</si>
  <si>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</si>
  <si>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</si>
  <si>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</si>
  <si>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</si>
  <si>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</si>
  <si>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</si>
  <si>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</si>
  <si>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</si>
  <si>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</si>
  <si>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</si>
  <si>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</si>
  <si>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</si>
  <si>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</si>
  <si>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</si>
  <si>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</si>
  <si>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</si>
  <si>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</si>
  <si>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</si>
  <si>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</si>
  <si>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</si>
  <si>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</si>
  <si>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</si>
  <si>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</si>
  <si>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</si>
  <si>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</si>
  <si>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</si>
  <si>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</si>
  <si>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</si>
  <si>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</si>
  <si>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</si>
  <si>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</si>
  <si>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</si>
  <si>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</si>
  <si>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</si>
  <si>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</si>
  <si>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</si>
  <si>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</si>
  <si>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</si>
  <si>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</si>
  <si>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</si>
  <si>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</si>
  <si>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</si>
  <si>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</si>
  <si>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</si>
  <si>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</si>
  <si>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</si>
  <si>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</si>
  <si>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</si>
  <si>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</si>
  <si>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</si>
  <si>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</si>
  <si>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</si>
  <si>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</si>
  <si>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</si>
  <si>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</si>
  <si>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</si>
  <si>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</si>
  <si>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</si>
  <si>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</si>
  <si>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</si>
  <si>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</si>
  <si>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</si>
  <si>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</si>
  <si>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</si>
  <si>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</si>
  <si>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</si>
  <si>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</si>
  <si>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</si>
  <si>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</si>
  <si>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</si>
  <si>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</si>
  <si>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</si>
  <si>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</si>
  <si>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</si>
  <si>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</si>
  <si>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</si>
  <si>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</si>
  <si>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</si>
  <si>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000 11607010 10 0000 140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</si>
  <si>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</si>
  <si>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</si>
  <si>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</si>
  <si>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</si>
  <si>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</si>
  <si>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</si>
  <si>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</si>
  <si>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</si>
  <si>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</si>
  <si>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</si>
  <si>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</si>
  <si>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</si>
  <si>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</si>
  <si>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</si>
  <si>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</si>
  <si>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</si>
  <si>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</si>
  <si>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</si>
  <si>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</si>
  <si>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</si>
  <si>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</si>
  <si>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</si>
  <si>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</si>
  <si>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</si>
  <si>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</si>
  <si>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</si>
  <si>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</si>
  <si>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</si>
  <si>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</si>
  <si>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</si>
  <si>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</si>
  <si>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</si>
  <si>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</si>
  <si>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</si>
  <si>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</si>
  <si>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</si>
  <si>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</si>
  <si>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</si>
  <si>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</si>
  <si>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</si>
  <si>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</si>
  <si>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</si>
  <si>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</si>
  <si>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</si>
  <si>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</si>
  <si>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</si>
  <si>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</si>
  <si>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</si>
  <si>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</si>
  <si>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</si>
  <si>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</si>
  <si>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</si>
  <si>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</si>
  <si>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</si>
  <si>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</si>
  <si>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</si>
  <si>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</si>
  <si>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</si>
  <si>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</si>
  <si>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</si>
  <si>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</si>
  <si>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</si>
  <si>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</si>
  <si>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</si>
  <si>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</si>
  <si>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</si>
  <si>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</si>
  <si>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</si>
  <si>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</si>
  <si>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</si>
  <si>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</si>
  <si>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</si>
  <si>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</si>
  <si>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</si>
  <si>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</si>
  <si>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</si>
  <si>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</si>
  <si>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</si>
  <si>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</si>
  <si>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</si>
  <si>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</si>
  <si>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</si>
  <si>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</si>
  <si>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</si>
  <si>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</si>
  <si>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</si>
  <si>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</si>
  <si>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</si>
  <si>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</si>
  <si>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</si>
  <si>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</si>
  <si>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</si>
  <si>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</si>
  <si>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</si>
  <si>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</si>
  <si>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</si>
  <si>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</si>
  <si>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</si>
  <si>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</si>
  <si>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</si>
  <si>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</si>
  <si>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</si>
  <si>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</si>
  <si>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</si>
  <si>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</si>
  <si>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</si>
  <si>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</si>
  <si>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</si>
  <si>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</si>
  <si>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</si>
  <si>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</si>
  <si>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</si>
  <si>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</si>
  <si>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</si>
  <si>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</si>
  <si>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</si>
  <si>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</si>
  <si>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</si>
  <si>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</si>
  <si>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</si>
  <si>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</si>
  <si>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</si>
  <si>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</si>
  <si>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</si>
  <si>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</si>
  <si>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</si>
  <si>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</si>
  <si>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</si>
  <si>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</si>
  <si>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</si>
  <si>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</si>
  <si>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</si>
  <si>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</si>
  <si>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</si>
  <si>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</si>
  <si>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</si>
  <si>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</si>
  <si>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</si>
  <si>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</si>
  <si>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</si>
  <si>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</si>
  <si>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</si>
  <si>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</si>
  <si>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</si>
  <si>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</si>
  <si>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</si>
  <si>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</si>
  <si>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</si>
  <si>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</si>
  <si>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</si>
  <si>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</si>
  <si>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</si>
  <si>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</si>
  <si>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</si>
  <si>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</si>
  <si>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</si>
  <si>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</si>
  <si>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</si>
  <si>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</si>
  <si>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</si>
  <si>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</si>
  <si>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</si>
  <si>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</si>
  <si>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</si>
  <si>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</si>
  <si>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</si>
  <si>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</si>
  <si>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</si>
  <si>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</si>
  <si>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</si>
  <si>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</si>
  <si>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</si>
  <si>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</si>
  <si>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</si>
  <si>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</si>
  <si>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</si>
  <si>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</si>
  <si>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</si>
  <si>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</si>
  <si>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</si>
  <si>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</si>
  <si>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</si>
  <si>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</si>
  <si>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</si>
  <si>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</si>
  <si>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</si>
  <si>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</si>
  <si>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</si>
  <si>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</si>
  <si>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</si>
  <si>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</si>
  <si>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</si>
  <si>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</si>
  <si>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</si>
  <si>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</si>
  <si>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</si>
  <si>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</si>
  <si>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</si>
  <si>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</si>
  <si>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</si>
  <si>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</si>
  <si>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</si>
  <si>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</si>
  <si>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</si>
  <si>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</si>
  <si>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</si>
  <si>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</si>
  <si>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</si>
  <si>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</si>
  <si>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</si>
  <si>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</si>
  <si>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</si>
  <si>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</si>
  <si>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</si>
  <si>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</si>
  <si>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</si>
  <si>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</si>
  <si>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</si>
  <si>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</si>
  <si>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</si>
  <si>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</si>
  <si>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</si>
  <si>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</si>
  <si>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</si>
  <si>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</si>
  <si>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</si>
  <si>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</si>
  <si>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</si>
  <si>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</si>
  <si>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</si>
  <si>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</si>
  <si>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</si>
  <si>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</si>
  <si>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</si>
  <si>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</si>
  <si>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</si>
  <si>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</si>
  <si>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</si>
  <si>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</si>
  <si>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</si>
  <si>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</si>
  <si>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</si>
  <si>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</si>
  <si>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</si>
  <si>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</si>
  <si>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</si>
  <si>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</si>
  <si>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</si>
  <si>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</si>
  <si>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</si>
  <si>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</si>
  <si>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</si>
  <si>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</si>
  <si>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</si>
  <si>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</si>
  <si>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</si>
  <si>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</si>
  <si>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</si>
  <si>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</si>
  <si>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</si>
  <si>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</si>
  <si>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</si>
  <si>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</si>
  <si>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</si>
  <si>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</si>
  <si>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</si>
  <si>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</si>
  <si>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</si>
  <si>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</si>
  <si>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</si>
  <si>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</si>
  <si>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</si>
  <si>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</si>
  <si>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</si>
  <si>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</si>
  <si>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</si>
  <si>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</si>
  <si>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</si>
  <si>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</si>
  <si>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</si>
  <si>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</si>
  <si>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</si>
  <si>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</si>
  <si>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</si>
  <si>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</si>
  <si>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</si>
  <si>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</si>
  <si>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</si>
  <si>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</si>
  <si>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</si>
  <si>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</si>
  <si>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</si>
  <si>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</si>
  <si>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</si>
  <si>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</si>
  <si>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</si>
  <si>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</si>
  <si>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</si>
  <si>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</si>
  <si>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</si>
  <si>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</si>
  <si>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</si>
  <si>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</si>
  <si>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</si>
  <si>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</si>
  <si>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</si>
  <si>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</si>
  <si>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</si>
  <si>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</si>
  <si>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</si>
  <si>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</si>
  <si>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</si>
  <si>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</si>
  <si>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</si>
  <si>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</si>
  <si>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</si>
  <si>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</si>
  <si>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</si>
  <si>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</si>
  <si>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</si>
  <si>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</si>
  <si>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</si>
  <si>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</si>
  <si>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</si>
  <si>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</si>
  <si>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</si>
  <si>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</si>
  <si>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</si>
  <si>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</si>
  <si>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</si>
  <si>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</si>
  <si>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</si>
  <si>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</si>
  <si>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</si>
  <si>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</si>
  <si>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</si>
  <si>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</si>
  <si>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</si>
  <si>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</si>
  <si>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</si>
  <si>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</si>
  <si>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</si>
  <si>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</si>
  <si>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</si>
  <si>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</si>
  <si>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</si>
  <si>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</si>
  <si>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</si>
  <si>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</si>
  <si>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</si>
  <si>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</si>
  <si>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</si>
  <si>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</si>
  <si>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</si>
  <si>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</si>
  <si>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</si>
  <si>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</si>
  <si>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</si>
  <si>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</si>
  <si>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</si>
  <si>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</si>
  <si>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</si>
  <si>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</si>
  <si>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</si>
  <si>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</si>
  <si>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</si>
  <si>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</si>
  <si>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</si>
  <si>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</si>
  <si>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</si>
  <si>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</si>
  <si>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</si>
  <si>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</si>
  <si>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</si>
  <si>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</si>
  <si>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</si>
  <si>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</si>
  <si>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</si>
  <si>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</si>
  <si>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</si>
  <si>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</si>
  <si>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</si>
  <si>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</si>
  <si>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</si>
  <si>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</si>
  <si>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</si>
  <si>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</si>
  <si>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</si>
  <si>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</si>
  <si>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</si>
  <si>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</si>
  <si>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</si>
  <si>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</si>
  <si>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</si>
  <si>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</si>
  <si>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</si>
  <si>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</si>
  <si>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</si>
  <si>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</si>
  <si>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</si>
  <si>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</si>
  <si>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</si>
  <si>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</si>
  <si>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</si>
  <si>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</si>
  <si>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</si>
  <si>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</si>
  <si>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</si>
  <si>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</si>
  <si>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</si>
  <si>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4 августа 2022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</si>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</sst>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7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44743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12507048</f>
        <v>12507048</v>
      </c>
      <c r="V13" s="18"/>
      <c r="W13" s="18"/>
      <c r="X13" s="19" t="s">
        <v>74</v>
      </c>
      <c r="Y13" s="19"/>
      <c r="Z13" s="19"/>
      <c r="AA13" s="19"/>
      <c r="AB13" s="18">
        <f>12507048</f>
        <v>12507048</v>
      </c>
      <c r="AC13" s="18"/>
      <c r="AD13" s="18"/>
      <c r="AE13" s="20">
        <f>38188735</f>
        <v>38188735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50695783</f>
        <v>50695783</v>
      </c>
      <c r="AX13" s="18"/>
      <c r="AY13" s="19" t="s">
        <v>74</v>
      </c>
      <c r="AZ13" s="19"/>
      <c r="BA13" s="18">
        <f>6811355.26</f>
        <v>6811355.26</v>
      </c>
      <c r="BB13" s="18"/>
      <c r="BC13" s="18"/>
      <c r="BD13" s="19" t="s">
        <v>74</v>
      </c>
      <c r="BE13" s="19"/>
      <c r="BF13" s="18">
        <f>6811355.26</f>
        <v>6811355.26</v>
      </c>
      <c r="BG13" s="18"/>
      <c r="BH13" s="20">
        <f>11378556.04</f>
        <v>11378556.04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18189911.3</f>
        <v>18189911.3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12422048</f>
        <v>12422048</v>
      </c>
      <c r="V14" s="24"/>
      <c r="W14" s="24"/>
      <c r="X14" s="25" t="s">
        <v>74</v>
      </c>
      <c r="Y14" s="25"/>
      <c r="Z14" s="25"/>
      <c r="AA14" s="25"/>
      <c r="AB14" s="24">
        <f>12422048</f>
        <v>12422048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12422048</f>
        <v>12422048</v>
      </c>
      <c r="AX14" s="24"/>
      <c r="AY14" s="25" t="s">
        <v>74</v>
      </c>
      <c r="AZ14" s="25"/>
      <c r="BA14" s="24">
        <f>6726355.26</f>
        <v>6726355.26</v>
      </c>
      <c r="BB14" s="24"/>
      <c r="BC14" s="24"/>
      <c r="BD14" s="25" t="s">
        <v>74</v>
      </c>
      <c r="BE14" s="25"/>
      <c r="BF14" s="24">
        <f>6726355.26</f>
        <v>6726355.26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6726355.26</f>
        <v>6726355.26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1087000</f>
        <v>1087000</v>
      </c>
      <c r="V15" s="24"/>
      <c r="W15" s="24"/>
      <c r="X15" s="25" t="s">
        <v>74</v>
      </c>
      <c r="Y15" s="25"/>
      <c r="Z15" s="25"/>
      <c r="AA15" s="25"/>
      <c r="AB15" s="24">
        <f>1087000</f>
        <v>1087000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1087000</f>
        <v>1087000</v>
      </c>
      <c r="AX15" s="24"/>
      <c r="AY15" s="25" t="s">
        <v>74</v>
      </c>
      <c r="AZ15" s="25"/>
      <c r="BA15" s="24">
        <f>709771.68</f>
        <v>709771.68</v>
      </c>
      <c r="BB15" s="24"/>
      <c r="BC15" s="24"/>
      <c r="BD15" s="25" t="s">
        <v>74</v>
      </c>
      <c r="BE15" s="25"/>
      <c r="BF15" s="24">
        <f>709771.68</f>
        <v>709771.68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709771.68</f>
        <v>709771.68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1087000</f>
        <v>1087000</v>
      </c>
      <c r="V16" s="24"/>
      <c r="W16" s="24"/>
      <c r="X16" s="25" t="s">
        <v>74</v>
      </c>
      <c r="Y16" s="25"/>
      <c r="Z16" s="25"/>
      <c r="AA16" s="25"/>
      <c r="AB16" s="24">
        <f>1087000</f>
        <v>1087000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1087000</f>
        <v>1087000</v>
      </c>
      <c r="AX16" s="24"/>
      <c r="AY16" s="25" t="s">
        <v>74</v>
      </c>
      <c r="AZ16" s="25"/>
      <c r="BA16" s="24">
        <f>709771.68</f>
        <v>709771.68</v>
      </c>
      <c r="BB16" s="24"/>
      <c r="BC16" s="24"/>
      <c r="BD16" s="25" t="s">
        <v>74</v>
      </c>
      <c r="BE16" s="25"/>
      <c r="BF16" s="24">
        <f>709771.68</f>
        <v>709771.68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709771.68</f>
        <v>709771.68</v>
      </c>
      <c r="BR16" s="24"/>
      <c r="BS16" s="24"/>
      <c r="BT16" s="27" t="s">
        <v>74</v>
      </c>
    </row>
    <row r="17" spans="1:72" s="1" customFormat="1" ht="66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1064000</f>
        <v>1064000</v>
      </c>
      <c r="V17" s="24"/>
      <c r="W17" s="24"/>
      <c r="X17" s="25" t="s">
        <v>74</v>
      </c>
      <c r="Y17" s="25"/>
      <c r="Z17" s="25"/>
      <c r="AA17" s="25"/>
      <c r="AB17" s="24">
        <f>1064000</f>
        <v>1064000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1064000</f>
        <v>1064000</v>
      </c>
      <c r="AX17" s="24"/>
      <c r="AY17" s="25" t="s">
        <v>74</v>
      </c>
      <c r="AZ17" s="25"/>
      <c r="BA17" s="24">
        <f>704132.39</f>
        <v>704132.39</v>
      </c>
      <c r="BB17" s="24"/>
      <c r="BC17" s="24"/>
      <c r="BD17" s="25" t="s">
        <v>74</v>
      </c>
      <c r="BE17" s="25"/>
      <c r="BF17" s="24">
        <f>704132.39</f>
        <v>704132.39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704132.39</f>
        <v>704132.39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8000</f>
        <v>8000</v>
      </c>
      <c r="V18" s="24"/>
      <c r="W18" s="24"/>
      <c r="X18" s="25" t="s">
        <v>74</v>
      </c>
      <c r="Y18" s="25"/>
      <c r="Z18" s="25"/>
      <c r="AA18" s="25"/>
      <c r="AB18" s="24">
        <f>8000</f>
        <v>8000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8000</f>
        <v>8000</v>
      </c>
      <c r="AX18" s="24"/>
      <c r="AY18" s="25" t="s">
        <v>74</v>
      </c>
      <c r="AZ18" s="25"/>
      <c r="BA18" s="24">
        <f>-472.54</f>
        <v>-472.54</v>
      </c>
      <c r="BB18" s="24"/>
      <c r="BC18" s="24"/>
      <c r="BD18" s="25" t="s">
        <v>74</v>
      </c>
      <c r="BE18" s="25"/>
      <c r="BF18" s="24">
        <f>-472.54</f>
        <v>-472.54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-472.54</f>
        <v>-472.54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15000</f>
        <v>15000</v>
      </c>
      <c r="V19" s="24"/>
      <c r="W19" s="24"/>
      <c r="X19" s="25" t="s">
        <v>74</v>
      </c>
      <c r="Y19" s="25"/>
      <c r="Z19" s="25"/>
      <c r="AA19" s="25"/>
      <c r="AB19" s="24">
        <f>15000</f>
        <v>15000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15000</f>
        <v>15000</v>
      </c>
      <c r="AX19" s="24"/>
      <c r="AY19" s="25" t="s">
        <v>74</v>
      </c>
      <c r="AZ19" s="25"/>
      <c r="BA19" s="24">
        <f>2953.89</f>
        <v>2953.89</v>
      </c>
      <c r="BB19" s="24"/>
      <c r="BC19" s="24"/>
      <c r="BD19" s="25" t="s">
        <v>74</v>
      </c>
      <c r="BE19" s="25"/>
      <c r="BF19" s="24">
        <f>2953.89</f>
        <v>2953.89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2953.89</f>
        <v>2953.89</v>
      </c>
      <c r="BR19" s="24"/>
      <c r="BS19" s="24"/>
      <c r="BT19" s="27" t="s">
        <v>74</v>
      </c>
    </row>
    <row r="20" spans="1:72" s="1" customFormat="1" ht="75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5" t="s">
        <v>74</v>
      </c>
      <c r="V20" s="25"/>
      <c r="W20" s="25"/>
      <c r="X20" s="25" t="s">
        <v>74</v>
      </c>
      <c r="Y20" s="25"/>
      <c r="Z20" s="25"/>
      <c r="AA20" s="25"/>
      <c r="AB20" s="25" t="s">
        <v>74</v>
      </c>
      <c r="AC20" s="25"/>
      <c r="AD20" s="25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5" t="s">
        <v>74</v>
      </c>
      <c r="AX20" s="25"/>
      <c r="AY20" s="25" t="s">
        <v>74</v>
      </c>
      <c r="AZ20" s="25"/>
      <c r="BA20" s="24">
        <f>3157.94</f>
        <v>3157.94</v>
      </c>
      <c r="BB20" s="24"/>
      <c r="BC20" s="24"/>
      <c r="BD20" s="25" t="s">
        <v>74</v>
      </c>
      <c r="BE20" s="25"/>
      <c r="BF20" s="24">
        <f>3157.94</f>
        <v>3157.94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3157.94</f>
        <v>3157.94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4265000</f>
        <v>4265000</v>
      </c>
      <c r="V21" s="24"/>
      <c r="W21" s="24"/>
      <c r="X21" s="25" t="s">
        <v>74</v>
      </c>
      <c r="Y21" s="25"/>
      <c r="Z21" s="25"/>
      <c r="AA21" s="25"/>
      <c r="AB21" s="24">
        <f>4265000</f>
        <v>4265000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4265000</f>
        <v>4265000</v>
      </c>
      <c r="AX21" s="24"/>
      <c r="AY21" s="25" t="s">
        <v>74</v>
      </c>
      <c r="AZ21" s="25"/>
      <c r="BA21" s="24">
        <f>2370402.28</f>
        <v>2370402.28</v>
      </c>
      <c r="BB21" s="24"/>
      <c r="BC21" s="24"/>
      <c r="BD21" s="25" t="s">
        <v>74</v>
      </c>
      <c r="BE21" s="25"/>
      <c r="BF21" s="24">
        <f>2370402.28</f>
        <v>2370402.28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2370402.28</f>
        <v>2370402.28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4265000</f>
        <v>4265000</v>
      </c>
      <c r="V22" s="24"/>
      <c r="W22" s="24"/>
      <c r="X22" s="25" t="s">
        <v>74</v>
      </c>
      <c r="Y22" s="25"/>
      <c r="Z22" s="25"/>
      <c r="AA22" s="25"/>
      <c r="AB22" s="24">
        <f>4265000</f>
        <v>4265000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4265000</f>
        <v>4265000</v>
      </c>
      <c r="AX22" s="24"/>
      <c r="AY22" s="25" t="s">
        <v>74</v>
      </c>
      <c r="AZ22" s="25"/>
      <c r="BA22" s="24">
        <f>2370402.28</f>
        <v>2370402.28</v>
      </c>
      <c r="BB22" s="24"/>
      <c r="BC22" s="24"/>
      <c r="BD22" s="25" t="s">
        <v>74</v>
      </c>
      <c r="BE22" s="25"/>
      <c r="BF22" s="24">
        <f>2370402.28</f>
        <v>2370402.28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2370402.28</f>
        <v>2370402.28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74</v>
      </c>
      <c r="Y23" s="25"/>
      <c r="Z23" s="25"/>
      <c r="AA23" s="25"/>
      <c r="AB23" s="24">
        <f>1881320</f>
        <v>1881320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1881320</f>
        <v>1881320</v>
      </c>
      <c r="AX23" s="24"/>
      <c r="AY23" s="25" t="s">
        <v>74</v>
      </c>
      <c r="AZ23" s="25"/>
      <c r="BA23" s="24">
        <f>1166763.29</f>
        <v>1166763.29</v>
      </c>
      <c r="BB23" s="24"/>
      <c r="BC23" s="24"/>
      <c r="BD23" s="25" t="s">
        <v>74</v>
      </c>
      <c r="BE23" s="25"/>
      <c r="BF23" s="24">
        <f>1166763.29</f>
        <v>1166763.29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1166763.29</f>
        <v>1166763.29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74</v>
      </c>
      <c r="Y24" s="25"/>
      <c r="Z24" s="25"/>
      <c r="AA24" s="25"/>
      <c r="AB24" s="24">
        <f>1881320</f>
        <v>1881320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1881320</f>
        <v>1881320</v>
      </c>
      <c r="AX24" s="24"/>
      <c r="AY24" s="25" t="s">
        <v>74</v>
      </c>
      <c r="AZ24" s="25"/>
      <c r="BA24" s="24">
        <f>1166763.29</f>
        <v>1166763.29</v>
      </c>
      <c r="BB24" s="24"/>
      <c r="BC24" s="24"/>
      <c r="BD24" s="25" t="s">
        <v>74</v>
      </c>
      <c r="BE24" s="25"/>
      <c r="BF24" s="24">
        <f>1166763.29</f>
        <v>1166763.29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1166763.29</f>
        <v>1166763.29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10950</f>
        <v>10950</v>
      </c>
      <c r="V25" s="24"/>
      <c r="W25" s="24"/>
      <c r="X25" s="25" t="s">
        <v>74</v>
      </c>
      <c r="Y25" s="25"/>
      <c r="Z25" s="25"/>
      <c r="AA25" s="25"/>
      <c r="AB25" s="24">
        <f>10950</f>
        <v>10950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10950</f>
        <v>10950</v>
      </c>
      <c r="AX25" s="24"/>
      <c r="AY25" s="25" t="s">
        <v>74</v>
      </c>
      <c r="AZ25" s="25"/>
      <c r="BA25" s="24">
        <f>6868.64</f>
        <v>6868.64</v>
      </c>
      <c r="BB25" s="24"/>
      <c r="BC25" s="24"/>
      <c r="BD25" s="25" t="s">
        <v>74</v>
      </c>
      <c r="BE25" s="25"/>
      <c r="BF25" s="24">
        <f>6868.64</f>
        <v>6868.64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6868.64</f>
        <v>6868.64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10950</f>
        <v>10950</v>
      </c>
      <c r="V26" s="24"/>
      <c r="W26" s="24"/>
      <c r="X26" s="25" t="s">
        <v>74</v>
      </c>
      <c r="Y26" s="25"/>
      <c r="Z26" s="25"/>
      <c r="AA26" s="25"/>
      <c r="AB26" s="24">
        <f>10950</f>
        <v>10950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10950</f>
        <v>10950</v>
      </c>
      <c r="AX26" s="24"/>
      <c r="AY26" s="25" t="s">
        <v>74</v>
      </c>
      <c r="AZ26" s="25"/>
      <c r="BA26" s="24">
        <f>6868.64</f>
        <v>6868.64</v>
      </c>
      <c r="BB26" s="24"/>
      <c r="BC26" s="24"/>
      <c r="BD26" s="25" t="s">
        <v>74</v>
      </c>
      <c r="BE26" s="25"/>
      <c r="BF26" s="24">
        <f>6868.64</f>
        <v>6868.64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6868.64</f>
        <v>6868.64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2620880</f>
        <v>2620880</v>
      </c>
      <c r="V27" s="24"/>
      <c r="W27" s="24"/>
      <c r="X27" s="25" t="s">
        <v>74</v>
      </c>
      <c r="Y27" s="25"/>
      <c r="Z27" s="25"/>
      <c r="AA27" s="25"/>
      <c r="AB27" s="24">
        <f>2620880</f>
        <v>2620880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2620880</f>
        <v>2620880</v>
      </c>
      <c r="AX27" s="24"/>
      <c r="AY27" s="25" t="s">
        <v>74</v>
      </c>
      <c r="AZ27" s="25"/>
      <c r="BA27" s="24">
        <f>1344035.01</f>
        <v>1344035.01</v>
      </c>
      <c r="BB27" s="24"/>
      <c r="BC27" s="24"/>
      <c r="BD27" s="25" t="s">
        <v>74</v>
      </c>
      <c r="BE27" s="25"/>
      <c r="BF27" s="24">
        <f>1344035.01</f>
        <v>1344035.01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1344035.01</f>
        <v>1344035.01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2620880</f>
        <v>2620880</v>
      </c>
      <c r="V28" s="24"/>
      <c r="W28" s="24"/>
      <c r="X28" s="25" t="s">
        <v>74</v>
      </c>
      <c r="Y28" s="25"/>
      <c r="Z28" s="25"/>
      <c r="AA28" s="25"/>
      <c r="AB28" s="24">
        <f>2620880</f>
        <v>2620880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2620880</f>
        <v>2620880</v>
      </c>
      <c r="AX28" s="24"/>
      <c r="AY28" s="25" t="s">
        <v>74</v>
      </c>
      <c r="AZ28" s="25"/>
      <c r="BA28" s="24">
        <f>1344035.01</f>
        <v>1344035.01</v>
      </c>
      <c r="BB28" s="24"/>
      <c r="BC28" s="24"/>
      <c r="BD28" s="25" t="s">
        <v>74</v>
      </c>
      <c r="BE28" s="25"/>
      <c r="BF28" s="24">
        <f>1344035.01</f>
        <v>1344035.01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1344035.01</f>
        <v>1344035.01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-248150</f>
        <v>-248150</v>
      </c>
      <c r="V29" s="24"/>
      <c r="W29" s="24"/>
      <c r="X29" s="25" t="s">
        <v>74</v>
      </c>
      <c r="Y29" s="25"/>
      <c r="Z29" s="25"/>
      <c r="AA29" s="25"/>
      <c r="AB29" s="24">
        <f>-248150</f>
        <v>-248150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-248150</f>
        <v>-248150</v>
      </c>
      <c r="AX29" s="24"/>
      <c r="AY29" s="25" t="s">
        <v>74</v>
      </c>
      <c r="AZ29" s="25"/>
      <c r="BA29" s="24">
        <f>-147264.66</f>
        <v>-147264.66</v>
      </c>
      <c r="BB29" s="24"/>
      <c r="BC29" s="24"/>
      <c r="BD29" s="25" t="s">
        <v>74</v>
      </c>
      <c r="BE29" s="25"/>
      <c r="BF29" s="24">
        <f>-147264.66</f>
        <v>-147264.66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-147264.66</f>
        <v>-147264.66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-248150</f>
        <v>-248150</v>
      </c>
      <c r="V30" s="24"/>
      <c r="W30" s="24"/>
      <c r="X30" s="25" t="s">
        <v>74</v>
      </c>
      <c r="Y30" s="25"/>
      <c r="Z30" s="25"/>
      <c r="AA30" s="25"/>
      <c r="AB30" s="24">
        <f>-248150</f>
        <v>-248150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-248150</f>
        <v>-248150</v>
      </c>
      <c r="AX30" s="24"/>
      <c r="AY30" s="25" t="s">
        <v>74</v>
      </c>
      <c r="AZ30" s="25"/>
      <c r="BA30" s="24">
        <f>-147264.66</f>
        <v>-147264.66</v>
      </c>
      <c r="BB30" s="24"/>
      <c r="BC30" s="24"/>
      <c r="BD30" s="25" t="s">
        <v>74</v>
      </c>
      <c r="BE30" s="25"/>
      <c r="BF30" s="24">
        <f>-147264.66</f>
        <v>-147264.66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-147264.66</f>
        <v>-147264.66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3000</f>
        <v>3000</v>
      </c>
      <c r="V31" s="24"/>
      <c r="W31" s="24"/>
      <c r="X31" s="25" t="s">
        <v>74</v>
      </c>
      <c r="Y31" s="25"/>
      <c r="Z31" s="25"/>
      <c r="AA31" s="25"/>
      <c r="AB31" s="24">
        <f>3000</f>
        <v>3000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</f>
        <v>3000</v>
      </c>
      <c r="AX31" s="24"/>
      <c r="AY31" s="25" t="s">
        <v>74</v>
      </c>
      <c r="AZ31" s="25"/>
      <c r="BA31" s="24">
        <f>5949.89</f>
        <v>5949.89</v>
      </c>
      <c r="BB31" s="24"/>
      <c r="BC31" s="24"/>
      <c r="BD31" s="25" t="s">
        <v>74</v>
      </c>
      <c r="BE31" s="25"/>
      <c r="BF31" s="24">
        <f>5949.89</f>
        <v>5949.89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5949.89</f>
        <v>5949.89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3000</f>
        <v>3000</v>
      </c>
      <c r="V32" s="24"/>
      <c r="W32" s="24"/>
      <c r="X32" s="25" t="s">
        <v>74</v>
      </c>
      <c r="Y32" s="25"/>
      <c r="Z32" s="25"/>
      <c r="AA32" s="25"/>
      <c r="AB32" s="24">
        <f>3000</f>
        <v>3000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3000</f>
        <v>3000</v>
      </c>
      <c r="AX32" s="24"/>
      <c r="AY32" s="25" t="s">
        <v>74</v>
      </c>
      <c r="AZ32" s="25"/>
      <c r="BA32" s="24">
        <f>5949.89</f>
        <v>5949.89</v>
      </c>
      <c r="BB32" s="24"/>
      <c r="BC32" s="24"/>
      <c r="BD32" s="25" t="s">
        <v>74</v>
      </c>
      <c r="BE32" s="25"/>
      <c r="BF32" s="24">
        <f>5949.89</f>
        <v>5949.89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5949.89</f>
        <v>5949.89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3000</f>
        <v>3000</v>
      </c>
      <c r="V33" s="24"/>
      <c r="W33" s="24"/>
      <c r="X33" s="25" t="s">
        <v>74</v>
      </c>
      <c r="Y33" s="25"/>
      <c r="Z33" s="25"/>
      <c r="AA33" s="25"/>
      <c r="AB33" s="24">
        <f>3000</f>
        <v>3000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3000</f>
        <v>3000</v>
      </c>
      <c r="AX33" s="24"/>
      <c r="AY33" s="25" t="s">
        <v>74</v>
      </c>
      <c r="AZ33" s="25"/>
      <c r="BA33" s="24">
        <f>5949.89</f>
        <v>5949.89</v>
      </c>
      <c r="BB33" s="24"/>
      <c r="BC33" s="24"/>
      <c r="BD33" s="25" t="s">
        <v>74</v>
      </c>
      <c r="BE33" s="25"/>
      <c r="BF33" s="24">
        <f>5949.89</f>
        <v>5949.89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5949.89</f>
        <v>5949.89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6256000</f>
        <v>6256000</v>
      </c>
      <c r="V34" s="24"/>
      <c r="W34" s="24"/>
      <c r="X34" s="25" t="s">
        <v>74</v>
      </c>
      <c r="Y34" s="25"/>
      <c r="Z34" s="25"/>
      <c r="AA34" s="25"/>
      <c r="AB34" s="24">
        <f>6256000</f>
        <v>6256000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6256000</f>
        <v>6256000</v>
      </c>
      <c r="AX34" s="24"/>
      <c r="AY34" s="25" t="s">
        <v>74</v>
      </c>
      <c r="AZ34" s="25"/>
      <c r="BA34" s="24">
        <f>2069509.7</f>
        <v>2069509.7</v>
      </c>
      <c r="BB34" s="24"/>
      <c r="BC34" s="24"/>
      <c r="BD34" s="25" t="s">
        <v>74</v>
      </c>
      <c r="BE34" s="25"/>
      <c r="BF34" s="24">
        <f>2069509.7</f>
        <v>2069509.7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2069509.7</f>
        <v>2069509.7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1814000</f>
        <v>1814000</v>
      </c>
      <c r="V35" s="24"/>
      <c r="W35" s="24"/>
      <c r="X35" s="25" t="s">
        <v>74</v>
      </c>
      <c r="Y35" s="25"/>
      <c r="Z35" s="25"/>
      <c r="AA35" s="25"/>
      <c r="AB35" s="24">
        <f>1814000</f>
        <v>1814000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1814000</f>
        <v>1814000</v>
      </c>
      <c r="AX35" s="24"/>
      <c r="AY35" s="25" t="s">
        <v>74</v>
      </c>
      <c r="AZ35" s="25"/>
      <c r="BA35" s="24">
        <f>212284.08</f>
        <v>212284.08</v>
      </c>
      <c r="BB35" s="24"/>
      <c r="BC35" s="24"/>
      <c r="BD35" s="25" t="s">
        <v>74</v>
      </c>
      <c r="BE35" s="25"/>
      <c r="BF35" s="24">
        <f>212284.08</f>
        <v>212284.08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212284.08</f>
        <v>212284.08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1814000</f>
        <v>1814000</v>
      </c>
      <c r="V36" s="24"/>
      <c r="W36" s="24"/>
      <c r="X36" s="25" t="s">
        <v>74</v>
      </c>
      <c r="Y36" s="25"/>
      <c r="Z36" s="25"/>
      <c r="AA36" s="25"/>
      <c r="AB36" s="24">
        <f>1814000</f>
        <v>1814000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1814000</f>
        <v>1814000</v>
      </c>
      <c r="AX36" s="24"/>
      <c r="AY36" s="25" t="s">
        <v>74</v>
      </c>
      <c r="AZ36" s="25"/>
      <c r="BA36" s="24">
        <f>212284.08</f>
        <v>212284.08</v>
      </c>
      <c r="BB36" s="24"/>
      <c r="BC36" s="24"/>
      <c r="BD36" s="25" t="s">
        <v>74</v>
      </c>
      <c r="BE36" s="25"/>
      <c r="BF36" s="24">
        <f>212284.08</f>
        <v>212284.08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212284.08</f>
        <v>212284.08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4442000</f>
        <v>4442000</v>
      </c>
      <c r="V37" s="24"/>
      <c r="W37" s="24"/>
      <c r="X37" s="25" t="s">
        <v>74</v>
      </c>
      <c r="Y37" s="25"/>
      <c r="Z37" s="25"/>
      <c r="AA37" s="25"/>
      <c r="AB37" s="24">
        <f>4442000</f>
        <v>4442000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4442000</f>
        <v>4442000</v>
      </c>
      <c r="AX37" s="24"/>
      <c r="AY37" s="25" t="s">
        <v>74</v>
      </c>
      <c r="AZ37" s="25"/>
      <c r="BA37" s="24">
        <f>1857225.62</f>
        <v>1857225.62</v>
      </c>
      <c r="BB37" s="24"/>
      <c r="BC37" s="24"/>
      <c r="BD37" s="25" t="s">
        <v>74</v>
      </c>
      <c r="BE37" s="25"/>
      <c r="BF37" s="24">
        <f>1857225.62</f>
        <v>1857225.62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1857225.62</f>
        <v>1857225.62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2040000</f>
        <v>2040000</v>
      </c>
      <c r="V38" s="24"/>
      <c r="W38" s="24"/>
      <c r="X38" s="25" t="s">
        <v>74</v>
      </c>
      <c r="Y38" s="25"/>
      <c r="Z38" s="25"/>
      <c r="AA38" s="25"/>
      <c r="AB38" s="24">
        <f>2040000</f>
        <v>2040000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2040000</f>
        <v>2040000</v>
      </c>
      <c r="AX38" s="24"/>
      <c r="AY38" s="25" t="s">
        <v>74</v>
      </c>
      <c r="AZ38" s="25"/>
      <c r="BA38" s="24">
        <f>1655809.78</f>
        <v>1655809.78</v>
      </c>
      <c r="BB38" s="24"/>
      <c r="BC38" s="24"/>
      <c r="BD38" s="25" t="s">
        <v>74</v>
      </c>
      <c r="BE38" s="25"/>
      <c r="BF38" s="24">
        <f>1655809.78</f>
        <v>1655809.78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1655809.78</f>
        <v>1655809.78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2040000</f>
        <v>2040000</v>
      </c>
      <c r="V39" s="24"/>
      <c r="W39" s="24"/>
      <c r="X39" s="25" t="s">
        <v>74</v>
      </c>
      <c r="Y39" s="25"/>
      <c r="Z39" s="25"/>
      <c r="AA39" s="25"/>
      <c r="AB39" s="24">
        <f>2040000</f>
        <v>2040000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2040000</f>
        <v>2040000</v>
      </c>
      <c r="AX39" s="24"/>
      <c r="AY39" s="25" t="s">
        <v>74</v>
      </c>
      <c r="AZ39" s="25"/>
      <c r="BA39" s="24">
        <f>1655809.78</f>
        <v>1655809.78</v>
      </c>
      <c r="BB39" s="24"/>
      <c r="BC39" s="24"/>
      <c r="BD39" s="25" t="s">
        <v>74</v>
      </c>
      <c r="BE39" s="25"/>
      <c r="BF39" s="24">
        <f>1655809.78</f>
        <v>1655809.78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1655809.78</f>
        <v>1655809.78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2402000</f>
        <v>2402000</v>
      </c>
      <c r="V40" s="24"/>
      <c r="W40" s="24"/>
      <c r="X40" s="25" t="s">
        <v>74</v>
      </c>
      <c r="Y40" s="25"/>
      <c r="Z40" s="25"/>
      <c r="AA40" s="25"/>
      <c r="AB40" s="24">
        <f>2402000</f>
        <v>2402000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2402000</f>
        <v>2402000</v>
      </c>
      <c r="AX40" s="24"/>
      <c r="AY40" s="25" t="s">
        <v>74</v>
      </c>
      <c r="AZ40" s="25"/>
      <c r="BA40" s="24">
        <f>201415.84</f>
        <v>201415.84</v>
      </c>
      <c r="BB40" s="24"/>
      <c r="BC40" s="24"/>
      <c r="BD40" s="25" t="s">
        <v>74</v>
      </c>
      <c r="BE40" s="25"/>
      <c r="BF40" s="24">
        <f>201415.84</f>
        <v>201415.84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201415.84</f>
        <v>201415.84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2402000</f>
        <v>2402000</v>
      </c>
      <c r="V41" s="24"/>
      <c r="W41" s="24"/>
      <c r="X41" s="25" t="s">
        <v>74</v>
      </c>
      <c r="Y41" s="25"/>
      <c r="Z41" s="25"/>
      <c r="AA41" s="25"/>
      <c r="AB41" s="24">
        <f>2402000</f>
        <v>2402000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2402000</f>
        <v>2402000</v>
      </c>
      <c r="AX41" s="24"/>
      <c r="AY41" s="25" t="s">
        <v>74</v>
      </c>
      <c r="AZ41" s="25"/>
      <c r="BA41" s="24">
        <f>201415.84</f>
        <v>201415.84</v>
      </c>
      <c r="BB41" s="24"/>
      <c r="BC41" s="24"/>
      <c r="BD41" s="25" t="s">
        <v>74</v>
      </c>
      <c r="BE41" s="25"/>
      <c r="BF41" s="24">
        <f>201415.84</f>
        <v>201415.84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201415.84</f>
        <v>201415.84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1000</f>
        <v>1000</v>
      </c>
      <c r="V42" s="24"/>
      <c r="W42" s="24"/>
      <c r="X42" s="25" t="s">
        <v>74</v>
      </c>
      <c r="Y42" s="25"/>
      <c r="Z42" s="25"/>
      <c r="AA42" s="25"/>
      <c r="AB42" s="24">
        <f>1000</f>
        <v>1000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1000</f>
        <v>1000</v>
      </c>
      <c r="AX42" s="24"/>
      <c r="AY42" s="25" t="s">
        <v>74</v>
      </c>
      <c r="AZ42" s="25"/>
      <c r="BA42" s="25" t="s">
        <v>74</v>
      </c>
      <c r="BB42" s="25"/>
      <c r="BC42" s="25"/>
      <c r="BD42" s="25" t="s">
        <v>74</v>
      </c>
      <c r="BE42" s="25"/>
      <c r="BF42" s="25" t="s">
        <v>74</v>
      </c>
      <c r="BG42" s="25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5" t="s">
        <v>74</v>
      </c>
      <c r="BR42" s="25"/>
      <c r="BS42" s="25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1000</f>
        <v>1000</v>
      </c>
      <c r="V43" s="24"/>
      <c r="W43" s="24"/>
      <c r="X43" s="25" t="s">
        <v>74</v>
      </c>
      <c r="Y43" s="25"/>
      <c r="Z43" s="25"/>
      <c r="AA43" s="25"/>
      <c r="AB43" s="24">
        <f>1000</f>
        <v>1000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1000</f>
        <v>1000</v>
      </c>
      <c r="AX43" s="24"/>
      <c r="AY43" s="25" t="s">
        <v>74</v>
      </c>
      <c r="AZ43" s="25"/>
      <c r="BA43" s="25" t="s">
        <v>74</v>
      </c>
      <c r="BB43" s="25"/>
      <c r="BC43" s="25"/>
      <c r="BD43" s="25" t="s">
        <v>74</v>
      </c>
      <c r="BE43" s="25"/>
      <c r="BF43" s="25" t="s">
        <v>74</v>
      </c>
      <c r="BG43" s="25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5" t="s">
        <v>74</v>
      </c>
      <c r="BR43" s="25"/>
      <c r="BS43" s="25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>1000</f>
        <v>1000</v>
      </c>
      <c r="V44" s="24"/>
      <c r="W44" s="24"/>
      <c r="X44" s="25" t="s">
        <v>74</v>
      </c>
      <c r="Y44" s="25"/>
      <c r="Z44" s="25"/>
      <c r="AA44" s="25"/>
      <c r="AB44" s="24">
        <f>1000</f>
        <v>1000</v>
      </c>
      <c r="AC44" s="24"/>
      <c r="AD44" s="24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1000</f>
        <v>1000</v>
      </c>
      <c r="AX44" s="24"/>
      <c r="AY44" s="25" t="s">
        <v>74</v>
      </c>
      <c r="AZ44" s="25"/>
      <c r="BA44" s="25" t="s">
        <v>74</v>
      </c>
      <c r="BB44" s="25"/>
      <c r="BC44" s="25"/>
      <c r="BD44" s="25" t="s">
        <v>74</v>
      </c>
      <c r="BE44" s="25"/>
      <c r="BF44" s="25" t="s">
        <v>74</v>
      </c>
      <c r="BG44" s="25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5" t="s">
        <v>74</v>
      </c>
      <c r="BR44" s="25"/>
      <c r="BS44" s="25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418462.21</f>
        <v>418462.21</v>
      </c>
      <c r="BB45" s="24"/>
      <c r="BC45" s="24"/>
      <c r="BD45" s="25" t="s">
        <v>74</v>
      </c>
      <c r="BE45" s="25"/>
      <c r="BF45" s="24">
        <f>418462.21</f>
        <v>418462.21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418462.21</f>
        <v>418462.21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418462.21</f>
        <v>418462.21</v>
      </c>
      <c r="BB46" s="24"/>
      <c r="BC46" s="24"/>
      <c r="BD46" s="25" t="s">
        <v>74</v>
      </c>
      <c r="BE46" s="25"/>
      <c r="BF46" s="24">
        <f>418462.21</f>
        <v>418462.21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418462.21</f>
        <v>418462.21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418462.21</f>
        <v>418462.21</v>
      </c>
      <c r="BB47" s="24"/>
      <c r="BC47" s="24"/>
      <c r="BD47" s="25" t="s">
        <v>74</v>
      </c>
      <c r="BE47" s="25"/>
      <c r="BF47" s="24">
        <f>418462.21</f>
        <v>418462.21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418462.21</f>
        <v>418462.21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418462.21</f>
        <v>418462.21</v>
      </c>
      <c r="BB48" s="24"/>
      <c r="BC48" s="24"/>
      <c r="BD48" s="25" t="s">
        <v>74</v>
      </c>
      <c r="BE48" s="25"/>
      <c r="BF48" s="24">
        <f>418462.21</f>
        <v>418462.21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418462.21</f>
        <v>418462.21</v>
      </c>
      <c r="BR48" s="24"/>
      <c r="BS48" s="24"/>
      <c r="BT48" s="27" t="s">
        <v>74</v>
      </c>
    </row>
    <row r="49" spans="1:72" s="1" customFormat="1" ht="24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5" t="s">
        <v>74</v>
      </c>
      <c r="V49" s="25"/>
      <c r="W49" s="25"/>
      <c r="X49" s="25" t="s">
        <v>74</v>
      </c>
      <c r="Y49" s="25"/>
      <c r="Z49" s="25"/>
      <c r="AA49" s="25"/>
      <c r="AB49" s="25" t="s">
        <v>74</v>
      </c>
      <c r="AC49" s="25"/>
      <c r="AD49" s="25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5" t="s">
        <v>74</v>
      </c>
      <c r="AX49" s="25"/>
      <c r="AY49" s="25" t="s">
        <v>74</v>
      </c>
      <c r="AZ49" s="25"/>
      <c r="BA49" s="24">
        <f>35562.03</f>
        <v>35562.03</v>
      </c>
      <c r="BB49" s="24"/>
      <c r="BC49" s="24"/>
      <c r="BD49" s="25" t="s">
        <v>74</v>
      </c>
      <c r="BE49" s="25"/>
      <c r="BF49" s="24">
        <f>35562.03</f>
        <v>35562.03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35562.03</f>
        <v>35562.03</v>
      </c>
      <c r="BR49" s="24"/>
      <c r="BS49" s="24"/>
      <c r="BT49" s="27" t="s">
        <v>74</v>
      </c>
    </row>
    <row r="50" spans="1:72" s="1" customFormat="1" ht="13.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5" t="s">
        <v>74</v>
      </c>
      <c r="V50" s="25"/>
      <c r="W50" s="25"/>
      <c r="X50" s="25" t="s">
        <v>74</v>
      </c>
      <c r="Y50" s="25"/>
      <c r="Z50" s="25"/>
      <c r="AA50" s="25"/>
      <c r="AB50" s="25" t="s">
        <v>74</v>
      </c>
      <c r="AC50" s="25"/>
      <c r="AD50" s="25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5" t="s">
        <v>74</v>
      </c>
      <c r="AX50" s="25"/>
      <c r="AY50" s="25" t="s">
        <v>74</v>
      </c>
      <c r="AZ50" s="25"/>
      <c r="BA50" s="24">
        <f>35562.03</f>
        <v>35562.03</v>
      </c>
      <c r="BB50" s="24"/>
      <c r="BC50" s="24"/>
      <c r="BD50" s="25" t="s">
        <v>74</v>
      </c>
      <c r="BE50" s="25"/>
      <c r="BF50" s="24">
        <f>35562.03</f>
        <v>35562.03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35562.03</f>
        <v>35562.03</v>
      </c>
      <c r="BR50" s="24"/>
      <c r="BS50" s="24"/>
      <c r="BT50" s="27" t="s">
        <v>74</v>
      </c>
    </row>
    <row r="51" spans="1:72" s="1" customFormat="1" ht="13.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35562.03</f>
        <v>35562.03</v>
      </c>
      <c r="BB51" s="24"/>
      <c r="BC51" s="24"/>
      <c r="BD51" s="25" t="s">
        <v>74</v>
      </c>
      <c r="BE51" s="25"/>
      <c r="BF51" s="24">
        <f>35562.03</f>
        <v>35562.03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35562.03</f>
        <v>35562.03</v>
      </c>
      <c r="BR51" s="24"/>
      <c r="BS51" s="24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35562.03</f>
        <v>35562.03</v>
      </c>
      <c r="BB52" s="24"/>
      <c r="BC52" s="24"/>
      <c r="BD52" s="25" t="s">
        <v>74</v>
      </c>
      <c r="BE52" s="25"/>
      <c r="BF52" s="24">
        <f>35562.03</f>
        <v>35562.03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35562.03</f>
        <v>35562.03</v>
      </c>
      <c r="BR52" s="24"/>
      <c r="BS52" s="24"/>
      <c r="BT52" s="27" t="s">
        <v>74</v>
      </c>
    </row>
    <row r="53" spans="1:72" s="1" customFormat="1" ht="24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>48548</f>
        <v>48548</v>
      </c>
      <c r="V53" s="24"/>
      <c r="W53" s="24"/>
      <c r="X53" s="25" t="s">
        <v>74</v>
      </c>
      <c r="Y53" s="25"/>
      <c r="Z53" s="25"/>
      <c r="AA53" s="25"/>
      <c r="AB53" s="24">
        <f>48548</f>
        <v>48548</v>
      </c>
      <c r="AC53" s="24"/>
      <c r="AD53" s="24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48548</f>
        <v>48548</v>
      </c>
      <c r="AX53" s="24"/>
      <c r="AY53" s="25" t="s">
        <v>74</v>
      </c>
      <c r="AZ53" s="25"/>
      <c r="BA53" s="24">
        <f>1064218.5</f>
        <v>1064218.5</v>
      </c>
      <c r="BB53" s="24"/>
      <c r="BC53" s="24"/>
      <c r="BD53" s="25" t="s">
        <v>74</v>
      </c>
      <c r="BE53" s="25"/>
      <c r="BF53" s="24">
        <f>1064218.5</f>
        <v>1064218.5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1064218.5</f>
        <v>1064218.5</v>
      </c>
      <c r="BR53" s="24"/>
      <c r="BS53" s="24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>48548</f>
        <v>48548</v>
      </c>
      <c r="V54" s="24"/>
      <c r="W54" s="24"/>
      <c r="X54" s="25" t="s">
        <v>74</v>
      </c>
      <c r="Y54" s="25"/>
      <c r="Z54" s="25"/>
      <c r="AA54" s="25"/>
      <c r="AB54" s="24">
        <f>48548</f>
        <v>48548</v>
      </c>
      <c r="AC54" s="24"/>
      <c r="AD54" s="24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48548</f>
        <v>48548</v>
      </c>
      <c r="AX54" s="24"/>
      <c r="AY54" s="25" t="s">
        <v>74</v>
      </c>
      <c r="AZ54" s="25"/>
      <c r="BA54" s="24">
        <f>1064218.5</f>
        <v>1064218.5</v>
      </c>
      <c r="BB54" s="24"/>
      <c r="BC54" s="24"/>
      <c r="BD54" s="25" t="s">
        <v>74</v>
      </c>
      <c r="BE54" s="25"/>
      <c r="BF54" s="24">
        <f>1064218.5</f>
        <v>1064218.5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1064218.5</f>
        <v>1064218.5</v>
      </c>
      <c r="BR54" s="24"/>
      <c r="BS54" s="24"/>
      <c r="BT54" s="27" t="s">
        <v>74</v>
      </c>
    </row>
    <row r="55" spans="1:72" s="1" customFormat="1" ht="4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>48548</f>
        <v>48548</v>
      </c>
      <c r="V55" s="24"/>
      <c r="W55" s="24"/>
      <c r="X55" s="25" t="s">
        <v>74</v>
      </c>
      <c r="Y55" s="25"/>
      <c r="Z55" s="25"/>
      <c r="AA55" s="25"/>
      <c r="AB55" s="24">
        <f>48548</f>
        <v>48548</v>
      </c>
      <c r="AC55" s="24"/>
      <c r="AD55" s="24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48548</f>
        <v>48548</v>
      </c>
      <c r="AX55" s="24"/>
      <c r="AY55" s="25" t="s">
        <v>74</v>
      </c>
      <c r="AZ55" s="25"/>
      <c r="BA55" s="24">
        <f>1064218.5</f>
        <v>1064218.5</v>
      </c>
      <c r="BB55" s="24"/>
      <c r="BC55" s="24"/>
      <c r="BD55" s="25" t="s">
        <v>74</v>
      </c>
      <c r="BE55" s="25"/>
      <c r="BF55" s="24">
        <f>1064218.5</f>
        <v>1064218.5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1064218.5</f>
        <v>1064218.5</v>
      </c>
      <c r="BR55" s="24"/>
      <c r="BS55" s="24"/>
      <c r="BT55" s="27" t="s">
        <v>74</v>
      </c>
    </row>
    <row r="56" spans="1:72" s="1" customFormat="1" ht="4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>48548</f>
        <v>48548</v>
      </c>
      <c r="V56" s="24"/>
      <c r="W56" s="24"/>
      <c r="X56" s="25" t="s">
        <v>74</v>
      </c>
      <c r="Y56" s="25"/>
      <c r="Z56" s="25"/>
      <c r="AA56" s="25"/>
      <c r="AB56" s="24">
        <f>48548</f>
        <v>48548</v>
      </c>
      <c r="AC56" s="24"/>
      <c r="AD56" s="24"/>
      <c r="AE56" s="26" t="s">
        <v>74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48548</f>
        <v>48548</v>
      </c>
      <c r="AX56" s="24"/>
      <c r="AY56" s="25" t="s">
        <v>74</v>
      </c>
      <c r="AZ56" s="25"/>
      <c r="BA56" s="24">
        <f>1064218.5</f>
        <v>1064218.5</v>
      </c>
      <c r="BB56" s="24"/>
      <c r="BC56" s="24"/>
      <c r="BD56" s="25" t="s">
        <v>74</v>
      </c>
      <c r="BE56" s="25"/>
      <c r="BF56" s="24">
        <f>1064218.5</f>
        <v>1064218.5</v>
      </c>
      <c r="BG56" s="24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1064218.5</f>
        <v>1064218.5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>36500</f>
        <v>36500</v>
      </c>
      <c r="V57" s="24"/>
      <c r="W57" s="24"/>
      <c r="X57" s="25" t="s">
        <v>74</v>
      </c>
      <c r="Y57" s="25"/>
      <c r="Z57" s="25"/>
      <c r="AA57" s="25"/>
      <c r="AB57" s="24">
        <f>36500</f>
        <v>36500</v>
      </c>
      <c r="AC57" s="24"/>
      <c r="AD57" s="24"/>
      <c r="AE57" s="26" t="s">
        <v>74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36500</f>
        <v>36500</v>
      </c>
      <c r="AX57" s="24"/>
      <c r="AY57" s="25" t="s">
        <v>74</v>
      </c>
      <c r="AZ57" s="25"/>
      <c r="BA57" s="24">
        <f>52478.97</f>
        <v>52478.97</v>
      </c>
      <c r="BB57" s="24"/>
      <c r="BC57" s="24"/>
      <c r="BD57" s="25" t="s">
        <v>74</v>
      </c>
      <c r="BE57" s="25"/>
      <c r="BF57" s="24">
        <f>52478.97</f>
        <v>52478.97</v>
      </c>
      <c r="BG57" s="24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52478.97</f>
        <v>52478.97</v>
      </c>
      <c r="BR57" s="24"/>
      <c r="BS57" s="24"/>
      <c r="BT57" s="27" t="s">
        <v>74</v>
      </c>
    </row>
    <row r="58" spans="1:72" s="1" customFormat="1" ht="85.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5" t="s">
        <v>74</v>
      </c>
      <c r="V58" s="25"/>
      <c r="W58" s="25"/>
      <c r="X58" s="25" t="s">
        <v>74</v>
      </c>
      <c r="Y58" s="25"/>
      <c r="Z58" s="25"/>
      <c r="AA58" s="25"/>
      <c r="AB58" s="25" t="s">
        <v>74</v>
      </c>
      <c r="AC58" s="25"/>
      <c r="AD58" s="25"/>
      <c r="AE58" s="26" t="s">
        <v>74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5" t="s">
        <v>74</v>
      </c>
      <c r="AX58" s="25"/>
      <c r="AY58" s="25" t="s">
        <v>74</v>
      </c>
      <c r="AZ58" s="25"/>
      <c r="BA58" s="24">
        <f>15978.97</f>
        <v>15978.97</v>
      </c>
      <c r="BB58" s="24"/>
      <c r="BC58" s="24"/>
      <c r="BD58" s="25" t="s">
        <v>74</v>
      </c>
      <c r="BE58" s="25"/>
      <c r="BF58" s="24">
        <f>15978.97</f>
        <v>15978.97</v>
      </c>
      <c r="BG58" s="24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15978.97</f>
        <v>15978.97</v>
      </c>
      <c r="BR58" s="24"/>
      <c r="BS58" s="24"/>
      <c r="BT58" s="27" t="s">
        <v>74</v>
      </c>
    </row>
    <row r="59" spans="1:72" s="1" customFormat="1" ht="4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5" t="s">
        <v>74</v>
      </c>
      <c r="V59" s="25"/>
      <c r="W59" s="25"/>
      <c r="X59" s="25" t="s">
        <v>74</v>
      </c>
      <c r="Y59" s="25"/>
      <c r="Z59" s="25"/>
      <c r="AA59" s="25"/>
      <c r="AB59" s="25" t="s">
        <v>74</v>
      </c>
      <c r="AC59" s="25"/>
      <c r="AD59" s="25"/>
      <c r="AE59" s="26" t="s">
        <v>74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5" t="s">
        <v>74</v>
      </c>
      <c r="AX59" s="25"/>
      <c r="AY59" s="25" t="s">
        <v>74</v>
      </c>
      <c r="AZ59" s="25"/>
      <c r="BA59" s="24">
        <f>15978.97</f>
        <v>15978.97</v>
      </c>
      <c r="BB59" s="24"/>
      <c r="BC59" s="24"/>
      <c r="BD59" s="25" t="s">
        <v>74</v>
      </c>
      <c r="BE59" s="25"/>
      <c r="BF59" s="24">
        <f>15978.97</f>
        <v>15978.97</v>
      </c>
      <c r="BG59" s="24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15978.97</f>
        <v>15978.97</v>
      </c>
      <c r="BR59" s="24"/>
      <c r="BS59" s="24"/>
      <c r="BT59" s="27" t="s">
        <v>74</v>
      </c>
    </row>
    <row r="60" spans="1:72" s="1" customFormat="1" ht="66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5" t="s">
        <v>74</v>
      </c>
      <c r="V60" s="25"/>
      <c r="W60" s="25"/>
      <c r="X60" s="25" t="s">
        <v>74</v>
      </c>
      <c r="Y60" s="25"/>
      <c r="Z60" s="25"/>
      <c r="AA60" s="25"/>
      <c r="AB60" s="25" t="s">
        <v>74</v>
      </c>
      <c r="AC60" s="25"/>
      <c r="AD60" s="25"/>
      <c r="AE60" s="26" t="s">
        <v>74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5" t="s">
        <v>74</v>
      </c>
      <c r="AX60" s="25"/>
      <c r="AY60" s="25" t="s">
        <v>74</v>
      </c>
      <c r="AZ60" s="25"/>
      <c r="BA60" s="24">
        <f>15978.97</f>
        <v>15978.97</v>
      </c>
      <c r="BB60" s="24"/>
      <c r="BC60" s="24"/>
      <c r="BD60" s="25" t="s">
        <v>74</v>
      </c>
      <c r="BE60" s="25"/>
      <c r="BF60" s="24">
        <f>15978.97</f>
        <v>15978.97</v>
      </c>
      <c r="BG60" s="24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15978.97</f>
        <v>15978.97</v>
      </c>
      <c r="BR60" s="24"/>
      <c r="BS60" s="24"/>
      <c r="BT60" s="27" t="s">
        <v>74</v>
      </c>
    </row>
    <row r="61" spans="1:72" s="1" customFormat="1" ht="24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>36500</f>
        <v>36500</v>
      </c>
      <c r="V61" s="24"/>
      <c r="W61" s="24"/>
      <c r="X61" s="25" t="s">
        <v>74</v>
      </c>
      <c r="Y61" s="25"/>
      <c r="Z61" s="25"/>
      <c r="AA61" s="25"/>
      <c r="AB61" s="24">
        <f>36500</f>
        <v>36500</v>
      </c>
      <c r="AC61" s="24"/>
      <c r="AD61" s="24"/>
      <c r="AE61" s="26" t="s">
        <v>74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36500</f>
        <v>36500</v>
      </c>
      <c r="AX61" s="24"/>
      <c r="AY61" s="25" t="s">
        <v>74</v>
      </c>
      <c r="AZ61" s="25"/>
      <c r="BA61" s="24">
        <f>36500</f>
        <v>36500</v>
      </c>
      <c r="BB61" s="24"/>
      <c r="BC61" s="24"/>
      <c r="BD61" s="25" t="s">
        <v>74</v>
      </c>
      <c r="BE61" s="25"/>
      <c r="BF61" s="24">
        <f>36500</f>
        <v>36500</v>
      </c>
      <c r="BG61" s="24"/>
      <c r="BH61" s="26" t="s">
        <v>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36500</f>
        <v>36500</v>
      </c>
      <c r="BR61" s="24"/>
      <c r="BS61" s="24"/>
      <c r="BT61" s="27" t="s">
        <v>74</v>
      </c>
    </row>
    <row r="62" spans="1:72" s="1" customFormat="1" ht="75.75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>36500</f>
        <v>36500</v>
      </c>
      <c r="V62" s="24"/>
      <c r="W62" s="24"/>
      <c r="X62" s="25" t="s">
        <v>74</v>
      </c>
      <c r="Y62" s="25"/>
      <c r="Z62" s="25"/>
      <c r="AA62" s="25"/>
      <c r="AB62" s="24">
        <f>36500</f>
        <v>36500</v>
      </c>
      <c r="AC62" s="24"/>
      <c r="AD62" s="24"/>
      <c r="AE62" s="26" t="s">
        <v>74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36500</f>
        <v>36500</v>
      </c>
      <c r="AX62" s="24"/>
      <c r="AY62" s="25" t="s">
        <v>74</v>
      </c>
      <c r="AZ62" s="25"/>
      <c r="BA62" s="24">
        <f>36500</f>
        <v>36500</v>
      </c>
      <c r="BB62" s="24"/>
      <c r="BC62" s="24"/>
      <c r="BD62" s="25" t="s">
        <v>74</v>
      </c>
      <c r="BE62" s="25"/>
      <c r="BF62" s="24">
        <f>36500</f>
        <v>36500</v>
      </c>
      <c r="BG62" s="24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36500</f>
        <v>36500</v>
      </c>
      <c r="BR62" s="24"/>
      <c r="BS62" s="24"/>
      <c r="BT62" s="27" t="s">
        <v>74</v>
      </c>
    </row>
    <row r="63" spans="1:72" s="1" customFormat="1" ht="33.75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>36500</f>
        <v>36500</v>
      </c>
      <c r="V63" s="24"/>
      <c r="W63" s="24"/>
      <c r="X63" s="25" t="s">
        <v>74</v>
      </c>
      <c r="Y63" s="25"/>
      <c r="Z63" s="25"/>
      <c r="AA63" s="25"/>
      <c r="AB63" s="24">
        <f>36500</f>
        <v>36500</v>
      </c>
      <c r="AC63" s="24"/>
      <c r="AD63" s="24"/>
      <c r="AE63" s="26" t="s">
        <v>74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36500</f>
        <v>36500</v>
      </c>
      <c r="AX63" s="24"/>
      <c r="AY63" s="25" t="s">
        <v>74</v>
      </c>
      <c r="AZ63" s="25"/>
      <c r="BA63" s="24">
        <f>36500</f>
        <v>36500</v>
      </c>
      <c r="BB63" s="24"/>
      <c r="BC63" s="24"/>
      <c r="BD63" s="25" t="s">
        <v>74</v>
      </c>
      <c r="BE63" s="25"/>
      <c r="BF63" s="24">
        <f>36500</f>
        <v>36500</v>
      </c>
      <c r="BG63" s="24"/>
      <c r="BH63" s="26" t="s">
        <v>74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36500</f>
        <v>36500</v>
      </c>
      <c r="BR63" s="24"/>
      <c r="BS63" s="24"/>
      <c r="BT63" s="27" t="s">
        <v>74</v>
      </c>
    </row>
    <row r="64" spans="1:72" s="1" customFormat="1" ht="13.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>85000</f>
        <v>85000</v>
      </c>
      <c r="V64" s="24"/>
      <c r="W64" s="24"/>
      <c r="X64" s="25" t="s">
        <v>74</v>
      </c>
      <c r="Y64" s="25"/>
      <c r="Z64" s="25"/>
      <c r="AA64" s="25"/>
      <c r="AB64" s="24">
        <f>85000</f>
        <v>85000</v>
      </c>
      <c r="AC64" s="24"/>
      <c r="AD64" s="24"/>
      <c r="AE64" s="28">
        <f>38188735</f>
        <v>38188735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38273735</f>
        <v>38273735</v>
      </c>
      <c r="AX64" s="24"/>
      <c r="AY64" s="25" t="s">
        <v>74</v>
      </c>
      <c r="AZ64" s="25"/>
      <c r="BA64" s="24">
        <f>85000</f>
        <v>85000</v>
      </c>
      <c r="BB64" s="24"/>
      <c r="BC64" s="24"/>
      <c r="BD64" s="25" t="s">
        <v>74</v>
      </c>
      <c r="BE64" s="25"/>
      <c r="BF64" s="24">
        <f>85000</f>
        <v>85000</v>
      </c>
      <c r="BG64" s="24"/>
      <c r="BH64" s="28">
        <f>11378556.04</f>
        <v>11378556.04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11463556.04</f>
        <v>11463556.04</v>
      </c>
      <c r="BR64" s="24"/>
      <c r="BS64" s="24"/>
      <c r="BT64" s="27" t="s">
        <v>74</v>
      </c>
    </row>
    <row r="65" spans="1:72" s="1" customFormat="1" ht="24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aca="true" t="shared" si="0" ref="U65:U87">0</f>
        <v>0</v>
      </c>
      <c r="V65" s="24"/>
      <c r="W65" s="24"/>
      <c r="X65" s="25" t="s">
        <v>74</v>
      </c>
      <c r="Y65" s="25"/>
      <c r="Z65" s="25"/>
      <c r="AA65" s="25"/>
      <c r="AB65" s="24">
        <f aca="true" t="shared" si="1" ref="AB65:AB87">0</f>
        <v>0</v>
      </c>
      <c r="AC65" s="24"/>
      <c r="AD65" s="24"/>
      <c r="AE65" s="28">
        <f>38188735</f>
        <v>38188735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38188735</f>
        <v>38188735</v>
      </c>
      <c r="AX65" s="24"/>
      <c r="AY65" s="25" t="s">
        <v>74</v>
      </c>
      <c r="AZ65" s="25"/>
      <c r="BA65" s="24">
        <f aca="true" t="shared" si="2" ref="BA65:BA75">0</f>
        <v>0</v>
      </c>
      <c r="BB65" s="24"/>
      <c r="BC65" s="24"/>
      <c r="BD65" s="25" t="s">
        <v>74</v>
      </c>
      <c r="BE65" s="25"/>
      <c r="BF65" s="24">
        <f aca="true" t="shared" si="3" ref="BF65:BF75">0</f>
        <v>0</v>
      </c>
      <c r="BG65" s="24"/>
      <c r="BH65" s="28">
        <f>11378556.04</f>
        <v>11378556.04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11378556.04</f>
        <v>11378556.04</v>
      </c>
      <c r="BR65" s="24"/>
      <c r="BS65" s="24"/>
      <c r="BT65" s="27" t="s">
        <v>74</v>
      </c>
    </row>
    <row r="66" spans="1:72" s="1" customFormat="1" ht="24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74</v>
      </c>
      <c r="Y66" s="25"/>
      <c r="Z66" s="25"/>
      <c r="AA66" s="25"/>
      <c r="AB66" s="24">
        <f t="shared" si="1"/>
        <v>0</v>
      </c>
      <c r="AC66" s="24"/>
      <c r="AD66" s="24"/>
      <c r="AE66" s="28">
        <f>14324000</f>
        <v>14324000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14324000</f>
        <v>14324000</v>
      </c>
      <c r="AX66" s="24"/>
      <c r="AY66" s="25" t="s">
        <v>74</v>
      </c>
      <c r="AZ66" s="25"/>
      <c r="BA66" s="24">
        <f t="shared" si="2"/>
        <v>0</v>
      </c>
      <c r="BB66" s="24"/>
      <c r="BC66" s="24"/>
      <c r="BD66" s="25" t="s">
        <v>74</v>
      </c>
      <c r="BE66" s="25"/>
      <c r="BF66" s="24">
        <f t="shared" si="3"/>
        <v>0</v>
      </c>
      <c r="BG66" s="24"/>
      <c r="BH66" s="28">
        <f>7250500</f>
        <v>7250500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7250500</f>
        <v>7250500</v>
      </c>
      <c r="BR66" s="24"/>
      <c r="BS66" s="24"/>
      <c r="BT66" s="27" t="s">
        <v>74</v>
      </c>
    </row>
    <row r="67" spans="1:72" s="1" customFormat="1" ht="13.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74</v>
      </c>
      <c r="Y67" s="25"/>
      <c r="Z67" s="25"/>
      <c r="AA67" s="25"/>
      <c r="AB67" s="24">
        <f t="shared" si="1"/>
        <v>0</v>
      </c>
      <c r="AC67" s="24"/>
      <c r="AD67" s="24"/>
      <c r="AE67" s="28">
        <f>14019000</f>
        <v>14019000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14019000</f>
        <v>14019000</v>
      </c>
      <c r="AX67" s="24"/>
      <c r="AY67" s="25" t="s">
        <v>74</v>
      </c>
      <c r="AZ67" s="25"/>
      <c r="BA67" s="24">
        <f t="shared" si="2"/>
        <v>0</v>
      </c>
      <c r="BB67" s="24"/>
      <c r="BC67" s="24"/>
      <c r="BD67" s="25" t="s">
        <v>74</v>
      </c>
      <c r="BE67" s="25"/>
      <c r="BF67" s="24">
        <f t="shared" si="3"/>
        <v>0</v>
      </c>
      <c r="BG67" s="24"/>
      <c r="BH67" s="28">
        <f>7008000</f>
        <v>7008000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7008000</f>
        <v>7008000</v>
      </c>
      <c r="BR67" s="24"/>
      <c r="BS67" s="24"/>
      <c r="BT67" s="27" t="s">
        <v>74</v>
      </c>
    </row>
    <row r="68" spans="1:72" s="1" customFormat="1" ht="33.75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74</v>
      </c>
      <c r="Y68" s="25"/>
      <c r="Z68" s="25"/>
      <c r="AA68" s="25"/>
      <c r="AB68" s="24">
        <f t="shared" si="1"/>
        <v>0</v>
      </c>
      <c r="AC68" s="24"/>
      <c r="AD68" s="24"/>
      <c r="AE68" s="28">
        <f>14019000</f>
        <v>14019000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14019000</f>
        <v>14019000</v>
      </c>
      <c r="AX68" s="24"/>
      <c r="AY68" s="25" t="s">
        <v>74</v>
      </c>
      <c r="AZ68" s="25"/>
      <c r="BA68" s="24">
        <f t="shared" si="2"/>
        <v>0</v>
      </c>
      <c r="BB68" s="24"/>
      <c r="BC68" s="24"/>
      <c r="BD68" s="25" t="s">
        <v>74</v>
      </c>
      <c r="BE68" s="25"/>
      <c r="BF68" s="24">
        <f t="shared" si="3"/>
        <v>0</v>
      </c>
      <c r="BG68" s="24"/>
      <c r="BH68" s="28">
        <f>7008000</f>
        <v>7008000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7008000</f>
        <v>7008000</v>
      </c>
      <c r="BR68" s="24"/>
      <c r="BS68" s="24"/>
      <c r="BT68" s="27" t="s">
        <v>74</v>
      </c>
    </row>
    <row r="69" spans="1:72" s="1" customFormat="1" ht="33.7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74</v>
      </c>
      <c r="Y69" s="25"/>
      <c r="Z69" s="25"/>
      <c r="AA69" s="25"/>
      <c r="AB69" s="24">
        <f t="shared" si="1"/>
        <v>0</v>
      </c>
      <c r="AC69" s="24"/>
      <c r="AD69" s="24"/>
      <c r="AE69" s="28">
        <f>125000</f>
        <v>125000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125000</f>
        <v>125000</v>
      </c>
      <c r="AX69" s="24"/>
      <c r="AY69" s="25" t="s">
        <v>74</v>
      </c>
      <c r="AZ69" s="25"/>
      <c r="BA69" s="24">
        <f t="shared" si="2"/>
        <v>0</v>
      </c>
      <c r="BB69" s="24"/>
      <c r="BC69" s="24"/>
      <c r="BD69" s="25" t="s">
        <v>74</v>
      </c>
      <c r="BE69" s="25"/>
      <c r="BF69" s="24">
        <f t="shared" si="3"/>
        <v>0</v>
      </c>
      <c r="BG69" s="24"/>
      <c r="BH69" s="28">
        <f>62500</f>
        <v>62500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62500</f>
        <v>62500</v>
      </c>
      <c r="BR69" s="24"/>
      <c r="BS69" s="24"/>
      <c r="BT69" s="27" t="s">
        <v>74</v>
      </c>
    </row>
    <row r="70" spans="1:72" s="1" customFormat="1" ht="33.75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74</v>
      </c>
      <c r="Y70" s="25"/>
      <c r="Z70" s="25"/>
      <c r="AA70" s="25"/>
      <c r="AB70" s="24">
        <f t="shared" si="1"/>
        <v>0</v>
      </c>
      <c r="AC70" s="24"/>
      <c r="AD70" s="24"/>
      <c r="AE70" s="28">
        <f>125000</f>
        <v>125000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125000</f>
        <v>125000</v>
      </c>
      <c r="AX70" s="24"/>
      <c r="AY70" s="25" t="s">
        <v>74</v>
      </c>
      <c r="AZ70" s="25"/>
      <c r="BA70" s="24">
        <f t="shared" si="2"/>
        <v>0</v>
      </c>
      <c r="BB70" s="24"/>
      <c r="BC70" s="24"/>
      <c r="BD70" s="25" t="s">
        <v>74</v>
      </c>
      <c r="BE70" s="25"/>
      <c r="BF70" s="24">
        <f t="shared" si="3"/>
        <v>0</v>
      </c>
      <c r="BG70" s="24"/>
      <c r="BH70" s="28">
        <f>62500</f>
        <v>62500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62500</f>
        <v>62500</v>
      </c>
      <c r="BR70" s="24"/>
      <c r="BS70" s="24"/>
      <c r="BT70" s="27" t="s">
        <v>74</v>
      </c>
    </row>
    <row r="71" spans="1:72" s="1" customFormat="1" ht="13.5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74</v>
      </c>
      <c r="Y71" s="25"/>
      <c r="Z71" s="25"/>
      <c r="AA71" s="25"/>
      <c r="AB71" s="24">
        <f t="shared" si="1"/>
        <v>0</v>
      </c>
      <c r="AC71" s="24"/>
      <c r="AD71" s="24"/>
      <c r="AE71" s="28">
        <f>180000</f>
        <v>180000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180000</f>
        <v>180000</v>
      </c>
      <c r="AX71" s="24"/>
      <c r="AY71" s="25" t="s">
        <v>74</v>
      </c>
      <c r="AZ71" s="25"/>
      <c r="BA71" s="24">
        <f t="shared" si="2"/>
        <v>0</v>
      </c>
      <c r="BB71" s="24"/>
      <c r="BC71" s="24"/>
      <c r="BD71" s="25" t="s">
        <v>74</v>
      </c>
      <c r="BE71" s="25"/>
      <c r="BF71" s="24">
        <f t="shared" si="3"/>
        <v>0</v>
      </c>
      <c r="BG71" s="24"/>
      <c r="BH71" s="28">
        <f>180000</f>
        <v>180000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180000</f>
        <v>180000</v>
      </c>
      <c r="BR71" s="24"/>
      <c r="BS71" s="24"/>
      <c r="BT71" s="27" t="s">
        <v>74</v>
      </c>
    </row>
    <row r="72" spans="1:72" s="1" customFormat="1" ht="13.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74</v>
      </c>
      <c r="Y72" s="25"/>
      <c r="Z72" s="25"/>
      <c r="AA72" s="25"/>
      <c r="AB72" s="24">
        <f t="shared" si="1"/>
        <v>0</v>
      </c>
      <c r="AC72" s="24"/>
      <c r="AD72" s="24"/>
      <c r="AE72" s="28">
        <f>180000</f>
        <v>180000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180000</f>
        <v>180000</v>
      </c>
      <c r="AX72" s="24"/>
      <c r="AY72" s="25" t="s">
        <v>74</v>
      </c>
      <c r="AZ72" s="25"/>
      <c r="BA72" s="24">
        <f t="shared" si="2"/>
        <v>0</v>
      </c>
      <c r="BB72" s="24"/>
      <c r="BC72" s="24"/>
      <c r="BD72" s="25" t="s">
        <v>74</v>
      </c>
      <c r="BE72" s="25"/>
      <c r="BF72" s="24">
        <f t="shared" si="3"/>
        <v>0</v>
      </c>
      <c r="BG72" s="24"/>
      <c r="BH72" s="28">
        <f>180000</f>
        <v>180000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180000</f>
        <v>180000</v>
      </c>
      <c r="BR72" s="24"/>
      <c r="BS72" s="24"/>
      <c r="BT72" s="27" t="s">
        <v>74</v>
      </c>
    </row>
    <row r="73" spans="1:72" s="1" customFormat="1" ht="24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74</v>
      </c>
      <c r="Y73" s="25"/>
      <c r="Z73" s="25"/>
      <c r="AA73" s="25"/>
      <c r="AB73" s="24">
        <f t="shared" si="1"/>
        <v>0</v>
      </c>
      <c r="AC73" s="24"/>
      <c r="AD73" s="24"/>
      <c r="AE73" s="28">
        <f>12950516</f>
        <v>12950516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12950516</f>
        <v>12950516</v>
      </c>
      <c r="AX73" s="24"/>
      <c r="AY73" s="25" t="s">
        <v>74</v>
      </c>
      <c r="AZ73" s="25"/>
      <c r="BA73" s="24">
        <f t="shared" si="2"/>
        <v>0</v>
      </c>
      <c r="BB73" s="24"/>
      <c r="BC73" s="24"/>
      <c r="BD73" s="25" t="s">
        <v>74</v>
      </c>
      <c r="BE73" s="25"/>
      <c r="BF73" s="24">
        <f t="shared" si="3"/>
        <v>0</v>
      </c>
      <c r="BG73" s="24"/>
      <c r="BH73" s="28">
        <f>3273365</f>
        <v>3273365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3273365</f>
        <v>3273365</v>
      </c>
      <c r="BR73" s="24"/>
      <c r="BS73" s="24"/>
      <c r="BT73" s="27" t="s">
        <v>74</v>
      </c>
    </row>
    <row r="74" spans="1:72" s="1" customFormat="1" ht="54.75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74</v>
      </c>
      <c r="Y74" s="25"/>
      <c r="Z74" s="25"/>
      <c r="AA74" s="25"/>
      <c r="AB74" s="24">
        <f t="shared" si="1"/>
        <v>0</v>
      </c>
      <c r="AC74" s="24"/>
      <c r="AD74" s="24"/>
      <c r="AE74" s="28">
        <f>8460426</f>
        <v>8460426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8460426</f>
        <v>8460426</v>
      </c>
      <c r="AX74" s="24"/>
      <c r="AY74" s="25" t="s">
        <v>74</v>
      </c>
      <c r="AZ74" s="25"/>
      <c r="BA74" s="24">
        <f t="shared" si="2"/>
        <v>0</v>
      </c>
      <c r="BB74" s="24"/>
      <c r="BC74" s="24"/>
      <c r="BD74" s="25" t="s">
        <v>74</v>
      </c>
      <c r="BE74" s="25"/>
      <c r="BF74" s="24">
        <f t="shared" si="3"/>
        <v>0</v>
      </c>
      <c r="BG74" s="24"/>
      <c r="BH74" s="28">
        <f>3273365</f>
        <v>3273365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3273365</f>
        <v>3273365</v>
      </c>
      <c r="BR74" s="24"/>
      <c r="BS74" s="24"/>
      <c r="BT74" s="27" t="s">
        <v>74</v>
      </c>
    </row>
    <row r="75" spans="1:72" s="1" customFormat="1" ht="54.75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74</v>
      </c>
      <c r="Y75" s="25"/>
      <c r="Z75" s="25"/>
      <c r="AA75" s="25"/>
      <c r="AB75" s="24">
        <f t="shared" si="1"/>
        <v>0</v>
      </c>
      <c r="AC75" s="24"/>
      <c r="AD75" s="24"/>
      <c r="AE75" s="28">
        <f>8460426</f>
        <v>8460426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8460426</f>
        <v>8460426</v>
      </c>
      <c r="AX75" s="24"/>
      <c r="AY75" s="25" t="s">
        <v>74</v>
      </c>
      <c r="AZ75" s="25"/>
      <c r="BA75" s="24">
        <f t="shared" si="2"/>
        <v>0</v>
      </c>
      <c r="BB75" s="24"/>
      <c r="BC75" s="24"/>
      <c r="BD75" s="25" t="s">
        <v>74</v>
      </c>
      <c r="BE75" s="25"/>
      <c r="BF75" s="24">
        <f t="shared" si="3"/>
        <v>0</v>
      </c>
      <c r="BG75" s="24"/>
      <c r="BH75" s="28">
        <f>3273365</f>
        <v>3273365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3273365</f>
        <v>3273365</v>
      </c>
      <c r="BR75" s="24"/>
      <c r="BS75" s="24"/>
      <c r="BT75" s="27" t="s">
        <v>74</v>
      </c>
    </row>
    <row r="76" spans="1:72" s="1" customFormat="1" ht="24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74</v>
      </c>
      <c r="Y76" s="25"/>
      <c r="Z76" s="25"/>
      <c r="AA76" s="25"/>
      <c r="AB76" s="24">
        <f t="shared" si="1"/>
        <v>0</v>
      </c>
      <c r="AC76" s="24"/>
      <c r="AD76" s="24"/>
      <c r="AE76" s="28">
        <f>366856</f>
        <v>366856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366856</f>
        <v>366856</v>
      </c>
      <c r="AX76" s="24"/>
      <c r="AY76" s="25" t="s">
        <v>74</v>
      </c>
      <c r="AZ76" s="25"/>
      <c r="BA76" s="25" t="s">
        <v>74</v>
      </c>
      <c r="BB76" s="25"/>
      <c r="BC76" s="25"/>
      <c r="BD76" s="25" t="s">
        <v>74</v>
      </c>
      <c r="BE76" s="25"/>
      <c r="BF76" s="25" t="s">
        <v>74</v>
      </c>
      <c r="BG76" s="25"/>
      <c r="BH76" s="26" t="s">
        <v>74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5" t="s">
        <v>74</v>
      </c>
      <c r="BR76" s="25"/>
      <c r="BS76" s="25"/>
      <c r="BT76" s="27" t="s">
        <v>74</v>
      </c>
    </row>
    <row r="77" spans="1:72" s="1" customFormat="1" ht="24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74</v>
      </c>
      <c r="Y77" s="25"/>
      <c r="Z77" s="25"/>
      <c r="AA77" s="25"/>
      <c r="AB77" s="24">
        <f t="shared" si="1"/>
        <v>0</v>
      </c>
      <c r="AC77" s="24"/>
      <c r="AD77" s="24"/>
      <c r="AE77" s="28">
        <f>366856</f>
        <v>366856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366856</f>
        <v>366856</v>
      </c>
      <c r="AX77" s="24"/>
      <c r="AY77" s="25" t="s">
        <v>74</v>
      </c>
      <c r="AZ77" s="25"/>
      <c r="BA77" s="25" t="s">
        <v>74</v>
      </c>
      <c r="BB77" s="25"/>
      <c r="BC77" s="25"/>
      <c r="BD77" s="25" t="s">
        <v>74</v>
      </c>
      <c r="BE77" s="25"/>
      <c r="BF77" s="25" t="s">
        <v>74</v>
      </c>
      <c r="BG77" s="25"/>
      <c r="BH77" s="26" t="s">
        <v>74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5" t="s">
        <v>74</v>
      </c>
      <c r="BR77" s="25"/>
      <c r="BS77" s="25"/>
      <c r="BT77" s="27" t="s">
        <v>74</v>
      </c>
    </row>
    <row r="78" spans="1:72" s="1" customFormat="1" ht="24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0"/>
        <v>0</v>
      </c>
      <c r="V78" s="24"/>
      <c r="W78" s="24"/>
      <c r="X78" s="25" t="s">
        <v>74</v>
      </c>
      <c r="Y78" s="25"/>
      <c r="Z78" s="25"/>
      <c r="AA78" s="25"/>
      <c r="AB78" s="24">
        <f t="shared" si="1"/>
        <v>0</v>
      </c>
      <c r="AC78" s="24"/>
      <c r="AD78" s="24"/>
      <c r="AE78" s="28">
        <f>3551234</f>
        <v>3551234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3551234</f>
        <v>3551234</v>
      </c>
      <c r="AX78" s="24"/>
      <c r="AY78" s="25" t="s">
        <v>74</v>
      </c>
      <c r="AZ78" s="25"/>
      <c r="BA78" s="25" t="s">
        <v>74</v>
      </c>
      <c r="BB78" s="25"/>
      <c r="BC78" s="25"/>
      <c r="BD78" s="25" t="s">
        <v>74</v>
      </c>
      <c r="BE78" s="25"/>
      <c r="BF78" s="25" t="s">
        <v>74</v>
      </c>
      <c r="BG78" s="25"/>
      <c r="BH78" s="26" t="s">
        <v>74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5" t="s">
        <v>74</v>
      </c>
      <c r="BR78" s="25"/>
      <c r="BS78" s="25"/>
      <c r="BT78" s="27" t="s">
        <v>74</v>
      </c>
    </row>
    <row r="79" spans="1:72" s="1" customFormat="1" ht="24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0"/>
        <v>0</v>
      </c>
      <c r="V79" s="24"/>
      <c r="W79" s="24"/>
      <c r="X79" s="25" t="s">
        <v>74</v>
      </c>
      <c r="Y79" s="25"/>
      <c r="Z79" s="25"/>
      <c r="AA79" s="25"/>
      <c r="AB79" s="24">
        <f t="shared" si="1"/>
        <v>0</v>
      </c>
      <c r="AC79" s="24"/>
      <c r="AD79" s="24"/>
      <c r="AE79" s="28">
        <f>3551234</f>
        <v>3551234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3551234</f>
        <v>3551234</v>
      </c>
      <c r="AX79" s="24"/>
      <c r="AY79" s="25" t="s">
        <v>74</v>
      </c>
      <c r="AZ79" s="25"/>
      <c r="BA79" s="25" t="s">
        <v>74</v>
      </c>
      <c r="BB79" s="25"/>
      <c r="BC79" s="25"/>
      <c r="BD79" s="25" t="s">
        <v>74</v>
      </c>
      <c r="BE79" s="25"/>
      <c r="BF79" s="25" t="s">
        <v>74</v>
      </c>
      <c r="BG79" s="25"/>
      <c r="BH79" s="26" t="s">
        <v>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5" t="s">
        <v>74</v>
      </c>
      <c r="BR79" s="25"/>
      <c r="BS79" s="25"/>
      <c r="BT79" s="27" t="s">
        <v>74</v>
      </c>
    </row>
    <row r="80" spans="1:72" s="1" customFormat="1" ht="13.5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 t="shared" si="0"/>
        <v>0</v>
      </c>
      <c r="V80" s="24"/>
      <c r="W80" s="24"/>
      <c r="X80" s="25" t="s">
        <v>74</v>
      </c>
      <c r="Y80" s="25"/>
      <c r="Z80" s="25"/>
      <c r="AA80" s="25"/>
      <c r="AB80" s="24">
        <f t="shared" si="1"/>
        <v>0</v>
      </c>
      <c r="AC80" s="24"/>
      <c r="AD80" s="24"/>
      <c r="AE80" s="28">
        <f>572000</f>
        <v>572000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572000</f>
        <v>572000</v>
      </c>
      <c r="AX80" s="24"/>
      <c r="AY80" s="25" t="s">
        <v>74</v>
      </c>
      <c r="AZ80" s="25"/>
      <c r="BA80" s="25" t="s">
        <v>74</v>
      </c>
      <c r="BB80" s="25"/>
      <c r="BC80" s="25"/>
      <c r="BD80" s="25" t="s">
        <v>74</v>
      </c>
      <c r="BE80" s="25"/>
      <c r="BF80" s="25" t="s">
        <v>74</v>
      </c>
      <c r="BG80" s="25"/>
      <c r="BH80" s="26" t="s">
        <v>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5" t="s">
        <v>74</v>
      </c>
      <c r="BR80" s="25"/>
      <c r="BS80" s="25"/>
      <c r="BT80" s="27" t="s">
        <v>74</v>
      </c>
    </row>
    <row r="81" spans="1:72" s="1" customFormat="1" ht="13.5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 t="shared" si="0"/>
        <v>0</v>
      </c>
      <c r="V81" s="24"/>
      <c r="W81" s="24"/>
      <c r="X81" s="25" t="s">
        <v>74</v>
      </c>
      <c r="Y81" s="25"/>
      <c r="Z81" s="25"/>
      <c r="AA81" s="25"/>
      <c r="AB81" s="24">
        <f t="shared" si="1"/>
        <v>0</v>
      </c>
      <c r="AC81" s="24"/>
      <c r="AD81" s="24"/>
      <c r="AE81" s="28">
        <f>572000</f>
        <v>572000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572000</f>
        <v>572000</v>
      </c>
      <c r="AX81" s="24"/>
      <c r="AY81" s="25" t="s">
        <v>74</v>
      </c>
      <c r="AZ81" s="25"/>
      <c r="BA81" s="25" t="s">
        <v>74</v>
      </c>
      <c r="BB81" s="25"/>
      <c r="BC81" s="25"/>
      <c r="BD81" s="25" t="s">
        <v>74</v>
      </c>
      <c r="BE81" s="25"/>
      <c r="BF81" s="25" t="s">
        <v>74</v>
      </c>
      <c r="BG81" s="25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5" t="s">
        <v>74</v>
      </c>
      <c r="BR81" s="25"/>
      <c r="BS81" s="25"/>
      <c r="BT81" s="27" t="s">
        <v>74</v>
      </c>
    </row>
    <row r="82" spans="1:72" s="1" customFormat="1" ht="24" customHeight="1">
      <c r="A82" s="16" t="s">
        <v>210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211</v>
      </c>
      <c r="Q82" s="23"/>
      <c r="R82" s="23"/>
      <c r="S82" s="23"/>
      <c r="T82" s="23"/>
      <c r="U82" s="24">
        <f t="shared" si="0"/>
        <v>0</v>
      </c>
      <c r="V82" s="24"/>
      <c r="W82" s="24"/>
      <c r="X82" s="25" t="s">
        <v>74</v>
      </c>
      <c r="Y82" s="25"/>
      <c r="Z82" s="25"/>
      <c r="AA82" s="25"/>
      <c r="AB82" s="24">
        <f t="shared" si="1"/>
        <v>0</v>
      </c>
      <c r="AC82" s="24"/>
      <c r="AD82" s="24"/>
      <c r="AE82" s="28">
        <f>243919</f>
        <v>243919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243919</f>
        <v>243919</v>
      </c>
      <c r="AX82" s="24"/>
      <c r="AY82" s="25" t="s">
        <v>74</v>
      </c>
      <c r="AZ82" s="25"/>
      <c r="BA82" s="24">
        <f aca="true" t="shared" si="4" ref="BA82:BA87">0</f>
        <v>0</v>
      </c>
      <c r="BB82" s="24"/>
      <c r="BC82" s="24"/>
      <c r="BD82" s="25" t="s">
        <v>74</v>
      </c>
      <c r="BE82" s="25"/>
      <c r="BF82" s="24">
        <f aca="true" t="shared" si="5" ref="BF82:BF87">0</f>
        <v>0</v>
      </c>
      <c r="BG82" s="24"/>
      <c r="BH82" s="28">
        <f>121960</f>
        <v>121960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121960</f>
        <v>121960</v>
      </c>
      <c r="BR82" s="24"/>
      <c r="BS82" s="24"/>
      <c r="BT82" s="27" t="s">
        <v>74</v>
      </c>
    </row>
    <row r="83" spans="1:72" s="1" customFormat="1" ht="33.75" customHeight="1">
      <c r="A83" s="16" t="s">
        <v>212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72</v>
      </c>
      <c r="N83" s="23"/>
      <c r="O83" s="23"/>
      <c r="P83" s="23" t="s">
        <v>213</v>
      </c>
      <c r="Q83" s="23"/>
      <c r="R83" s="23"/>
      <c r="S83" s="23"/>
      <c r="T83" s="23"/>
      <c r="U83" s="24">
        <f t="shared" si="0"/>
        <v>0</v>
      </c>
      <c r="V83" s="24"/>
      <c r="W83" s="24"/>
      <c r="X83" s="25" t="s">
        <v>74</v>
      </c>
      <c r="Y83" s="25"/>
      <c r="Z83" s="25"/>
      <c r="AA83" s="25"/>
      <c r="AB83" s="24">
        <f t="shared" si="1"/>
        <v>0</v>
      </c>
      <c r="AC83" s="24"/>
      <c r="AD83" s="24"/>
      <c r="AE83" s="28">
        <f>243919</f>
        <v>243919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243919</f>
        <v>243919</v>
      </c>
      <c r="AX83" s="24"/>
      <c r="AY83" s="25" t="s">
        <v>74</v>
      </c>
      <c r="AZ83" s="25"/>
      <c r="BA83" s="24">
        <f t="shared" si="4"/>
        <v>0</v>
      </c>
      <c r="BB83" s="24"/>
      <c r="BC83" s="24"/>
      <c r="BD83" s="25" t="s">
        <v>74</v>
      </c>
      <c r="BE83" s="25"/>
      <c r="BF83" s="24">
        <f t="shared" si="5"/>
        <v>0</v>
      </c>
      <c r="BG83" s="24"/>
      <c r="BH83" s="28">
        <f>121960</f>
        <v>121960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121960</f>
        <v>121960</v>
      </c>
      <c r="BR83" s="24"/>
      <c r="BS83" s="24"/>
      <c r="BT83" s="27" t="s">
        <v>74</v>
      </c>
    </row>
    <row r="84" spans="1:72" s="1" customFormat="1" ht="45" customHeight="1">
      <c r="A84" s="16" t="s">
        <v>214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72</v>
      </c>
      <c r="N84" s="23"/>
      <c r="O84" s="23"/>
      <c r="P84" s="23" t="s">
        <v>215</v>
      </c>
      <c r="Q84" s="23"/>
      <c r="R84" s="23"/>
      <c r="S84" s="23"/>
      <c r="T84" s="23"/>
      <c r="U84" s="24">
        <f t="shared" si="0"/>
        <v>0</v>
      </c>
      <c r="V84" s="24"/>
      <c r="W84" s="24"/>
      <c r="X84" s="25" t="s">
        <v>74</v>
      </c>
      <c r="Y84" s="25"/>
      <c r="Z84" s="25"/>
      <c r="AA84" s="25"/>
      <c r="AB84" s="24">
        <f t="shared" si="1"/>
        <v>0</v>
      </c>
      <c r="AC84" s="24"/>
      <c r="AD84" s="24"/>
      <c r="AE84" s="28">
        <f>243919</f>
        <v>243919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243919</f>
        <v>243919</v>
      </c>
      <c r="AX84" s="24"/>
      <c r="AY84" s="25" t="s">
        <v>74</v>
      </c>
      <c r="AZ84" s="25"/>
      <c r="BA84" s="24">
        <f t="shared" si="4"/>
        <v>0</v>
      </c>
      <c r="BB84" s="24"/>
      <c r="BC84" s="24"/>
      <c r="BD84" s="25" t="s">
        <v>74</v>
      </c>
      <c r="BE84" s="25"/>
      <c r="BF84" s="24">
        <f t="shared" si="5"/>
        <v>0</v>
      </c>
      <c r="BG84" s="24"/>
      <c r="BH84" s="28">
        <f>121960</f>
        <v>121960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121960</f>
        <v>121960</v>
      </c>
      <c r="BR84" s="24"/>
      <c r="BS84" s="24"/>
      <c r="BT84" s="27" t="s">
        <v>74</v>
      </c>
    </row>
    <row r="85" spans="1:72" s="1" customFormat="1" ht="13.5" customHeight="1">
      <c r="A85" s="16" t="s">
        <v>216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72</v>
      </c>
      <c r="N85" s="23"/>
      <c r="O85" s="23"/>
      <c r="P85" s="23" t="s">
        <v>217</v>
      </c>
      <c r="Q85" s="23"/>
      <c r="R85" s="23"/>
      <c r="S85" s="23"/>
      <c r="T85" s="23"/>
      <c r="U85" s="24">
        <f t="shared" si="0"/>
        <v>0</v>
      </c>
      <c r="V85" s="24"/>
      <c r="W85" s="24"/>
      <c r="X85" s="25" t="s">
        <v>74</v>
      </c>
      <c r="Y85" s="25"/>
      <c r="Z85" s="25"/>
      <c r="AA85" s="25"/>
      <c r="AB85" s="24">
        <f t="shared" si="1"/>
        <v>0</v>
      </c>
      <c r="AC85" s="24"/>
      <c r="AD85" s="24"/>
      <c r="AE85" s="28">
        <f>10670300</f>
        <v>10670300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10670300</f>
        <v>10670300</v>
      </c>
      <c r="AX85" s="24"/>
      <c r="AY85" s="25" t="s">
        <v>74</v>
      </c>
      <c r="AZ85" s="25"/>
      <c r="BA85" s="24">
        <f t="shared" si="4"/>
        <v>0</v>
      </c>
      <c r="BB85" s="24"/>
      <c r="BC85" s="24"/>
      <c r="BD85" s="25" t="s">
        <v>74</v>
      </c>
      <c r="BE85" s="25"/>
      <c r="BF85" s="24">
        <f t="shared" si="5"/>
        <v>0</v>
      </c>
      <c r="BG85" s="24"/>
      <c r="BH85" s="28">
        <f>732731.04</f>
        <v>732731.04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732731.04</f>
        <v>732731.04</v>
      </c>
      <c r="BR85" s="24"/>
      <c r="BS85" s="24"/>
      <c r="BT85" s="27" t="s">
        <v>74</v>
      </c>
    </row>
    <row r="86" spans="1:72" s="1" customFormat="1" ht="24" customHeight="1">
      <c r="A86" s="16" t="s">
        <v>218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72</v>
      </c>
      <c r="N86" s="23"/>
      <c r="O86" s="23"/>
      <c r="P86" s="23" t="s">
        <v>219</v>
      </c>
      <c r="Q86" s="23"/>
      <c r="R86" s="23"/>
      <c r="S86" s="23"/>
      <c r="T86" s="23"/>
      <c r="U86" s="24">
        <f t="shared" si="0"/>
        <v>0</v>
      </c>
      <c r="V86" s="24"/>
      <c r="W86" s="24"/>
      <c r="X86" s="25" t="s">
        <v>74</v>
      </c>
      <c r="Y86" s="25"/>
      <c r="Z86" s="25"/>
      <c r="AA86" s="25"/>
      <c r="AB86" s="24">
        <f t="shared" si="1"/>
        <v>0</v>
      </c>
      <c r="AC86" s="24"/>
      <c r="AD86" s="24"/>
      <c r="AE86" s="28">
        <f>10670300</f>
        <v>10670300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10670300</f>
        <v>10670300</v>
      </c>
      <c r="AX86" s="24"/>
      <c r="AY86" s="25" t="s">
        <v>74</v>
      </c>
      <c r="AZ86" s="25"/>
      <c r="BA86" s="24">
        <f t="shared" si="4"/>
        <v>0</v>
      </c>
      <c r="BB86" s="24"/>
      <c r="BC86" s="24"/>
      <c r="BD86" s="25" t="s">
        <v>74</v>
      </c>
      <c r="BE86" s="25"/>
      <c r="BF86" s="24">
        <f t="shared" si="5"/>
        <v>0</v>
      </c>
      <c r="BG86" s="24"/>
      <c r="BH86" s="28">
        <f>732731.04</f>
        <v>732731.04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732731.04</f>
        <v>732731.04</v>
      </c>
      <c r="BR86" s="24"/>
      <c r="BS86" s="24"/>
      <c r="BT86" s="27" t="s">
        <v>74</v>
      </c>
    </row>
    <row r="87" spans="1:72" s="1" customFormat="1" ht="24" customHeight="1">
      <c r="A87" s="16" t="s">
        <v>220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72</v>
      </c>
      <c r="N87" s="23"/>
      <c r="O87" s="23"/>
      <c r="P87" s="23" t="s">
        <v>221</v>
      </c>
      <c r="Q87" s="23"/>
      <c r="R87" s="23"/>
      <c r="S87" s="23"/>
      <c r="T87" s="23"/>
      <c r="U87" s="24">
        <f t="shared" si="0"/>
        <v>0</v>
      </c>
      <c r="V87" s="24"/>
      <c r="W87" s="24"/>
      <c r="X87" s="25" t="s">
        <v>74</v>
      </c>
      <c r="Y87" s="25"/>
      <c r="Z87" s="25"/>
      <c r="AA87" s="25"/>
      <c r="AB87" s="24">
        <f t="shared" si="1"/>
        <v>0</v>
      </c>
      <c r="AC87" s="24"/>
      <c r="AD87" s="24"/>
      <c r="AE87" s="28">
        <f>10670300</f>
        <v>10670300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10670300</f>
        <v>10670300</v>
      </c>
      <c r="AX87" s="24"/>
      <c r="AY87" s="25" t="s">
        <v>74</v>
      </c>
      <c r="AZ87" s="25"/>
      <c r="BA87" s="24">
        <f t="shared" si="4"/>
        <v>0</v>
      </c>
      <c r="BB87" s="24"/>
      <c r="BC87" s="24"/>
      <c r="BD87" s="25" t="s">
        <v>74</v>
      </c>
      <c r="BE87" s="25"/>
      <c r="BF87" s="24">
        <f t="shared" si="5"/>
        <v>0</v>
      </c>
      <c r="BG87" s="24"/>
      <c r="BH87" s="28">
        <f>732731.04</f>
        <v>732731.04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732731.04</f>
        <v>732731.04</v>
      </c>
      <c r="BR87" s="24"/>
      <c r="BS87" s="24"/>
      <c r="BT87" s="27" t="s">
        <v>74</v>
      </c>
    </row>
    <row r="88" spans="1:72" s="1" customFormat="1" ht="13.5" customHeight="1">
      <c r="A88" s="16" t="s">
        <v>222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72</v>
      </c>
      <c r="N88" s="23"/>
      <c r="O88" s="23"/>
      <c r="P88" s="23" t="s">
        <v>223</v>
      </c>
      <c r="Q88" s="23"/>
      <c r="R88" s="23"/>
      <c r="S88" s="23"/>
      <c r="T88" s="23"/>
      <c r="U88" s="24">
        <f>85000</f>
        <v>85000</v>
      </c>
      <c r="V88" s="24"/>
      <c r="W88" s="24"/>
      <c r="X88" s="25" t="s">
        <v>74</v>
      </c>
      <c r="Y88" s="25"/>
      <c r="Z88" s="25"/>
      <c r="AA88" s="25"/>
      <c r="AB88" s="24">
        <f>85000</f>
        <v>85000</v>
      </c>
      <c r="AC88" s="24"/>
      <c r="AD88" s="24"/>
      <c r="AE88" s="26" t="s">
        <v>74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85000</f>
        <v>85000</v>
      </c>
      <c r="AX88" s="24"/>
      <c r="AY88" s="25" t="s">
        <v>74</v>
      </c>
      <c r="AZ88" s="25"/>
      <c r="BA88" s="24">
        <f>85000</f>
        <v>85000</v>
      </c>
      <c r="BB88" s="24"/>
      <c r="BC88" s="24"/>
      <c r="BD88" s="25" t="s">
        <v>74</v>
      </c>
      <c r="BE88" s="25"/>
      <c r="BF88" s="24">
        <f>85000</f>
        <v>85000</v>
      </c>
      <c r="BG88" s="24"/>
      <c r="BH88" s="26" t="s">
        <v>74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85000</f>
        <v>85000</v>
      </c>
      <c r="BR88" s="24"/>
      <c r="BS88" s="24"/>
      <c r="BT88" s="27" t="s">
        <v>74</v>
      </c>
    </row>
    <row r="89" spans="1:72" s="1" customFormat="1" ht="24" customHeight="1">
      <c r="A89" s="16" t="s">
        <v>224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72</v>
      </c>
      <c r="N89" s="23"/>
      <c r="O89" s="23"/>
      <c r="P89" s="23" t="s">
        <v>225</v>
      </c>
      <c r="Q89" s="23"/>
      <c r="R89" s="23"/>
      <c r="S89" s="23"/>
      <c r="T89" s="23"/>
      <c r="U89" s="24">
        <f>85000</f>
        <v>85000</v>
      </c>
      <c r="V89" s="24"/>
      <c r="W89" s="24"/>
      <c r="X89" s="25" t="s">
        <v>74</v>
      </c>
      <c r="Y89" s="25"/>
      <c r="Z89" s="25"/>
      <c r="AA89" s="25"/>
      <c r="AB89" s="24">
        <f>85000</f>
        <v>85000</v>
      </c>
      <c r="AC89" s="24"/>
      <c r="AD89" s="24"/>
      <c r="AE89" s="26" t="s">
        <v>74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85000</f>
        <v>85000</v>
      </c>
      <c r="AX89" s="24"/>
      <c r="AY89" s="25" t="s">
        <v>74</v>
      </c>
      <c r="AZ89" s="25"/>
      <c r="BA89" s="24">
        <f>85000</f>
        <v>85000</v>
      </c>
      <c r="BB89" s="24"/>
      <c r="BC89" s="24"/>
      <c r="BD89" s="25" t="s">
        <v>74</v>
      </c>
      <c r="BE89" s="25"/>
      <c r="BF89" s="24">
        <f>85000</f>
        <v>85000</v>
      </c>
      <c r="BG89" s="24"/>
      <c r="BH89" s="26" t="s">
        <v>74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85000</f>
        <v>85000</v>
      </c>
      <c r="BR89" s="24"/>
      <c r="BS89" s="24"/>
      <c r="BT89" s="27" t="s">
        <v>74</v>
      </c>
    </row>
    <row r="90" spans="1:72" s="1" customFormat="1" ht="24" customHeight="1">
      <c r="A90" s="16" t="s">
        <v>224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72</v>
      </c>
      <c r="N90" s="23"/>
      <c r="O90" s="23"/>
      <c r="P90" s="23" t="s">
        <v>226</v>
      </c>
      <c r="Q90" s="23"/>
      <c r="R90" s="23"/>
      <c r="S90" s="23"/>
      <c r="T90" s="23"/>
      <c r="U90" s="24">
        <f>85000</f>
        <v>85000</v>
      </c>
      <c r="V90" s="24"/>
      <c r="W90" s="24"/>
      <c r="X90" s="25" t="s">
        <v>74</v>
      </c>
      <c r="Y90" s="25"/>
      <c r="Z90" s="25"/>
      <c r="AA90" s="25"/>
      <c r="AB90" s="24">
        <f>85000</f>
        <v>85000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85000</f>
        <v>85000</v>
      </c>
      <c r="AX90" s="24"/>
      <c r="AY90" s="25" t="s">
        <v>74</v>
      </c>
      <c r="AZ90" s="25"/>
      <c r="BA90" s="24">
        <f>85000</f>
        <v>85000</v>
      </c>
      <c r="BB90" s="24"/>
      <c r="BC90" s="24"/>
      <c r="BD90" s="25" t="s">
        <v>74</v>
      </c>
      <c r="BE90" s="25"/>
      <c r="BF90" s="24">
        <f>85000</f>
        <v>85000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85000</f>
        <v>85000</v>
      </c>
      <c r="BR90" s="24"/>
      <c r="BS90" s="24"/>
      <c r="BT90" s="27" t="s">
        <v>74</v>
      </c>
    </row>
    <row r="91" spans="1:72" s="1" customFormat="1" ht="13.5" customHeight="1">
      <c r="A91" s="29" t="s">
        <v>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 t="s">
        <v>9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</row>
    <row r="92" spans="1:72" s="1" customFormat="1" ht="15.75" customHeight="1">
      <c r="A92" s="12" t="s">
        <v>227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s="1" customFormat="1" ht="28.5" customHeight="1">
      <c r="A93" s="3" t="s">
        <v>21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 t="s">
        <v>22</v>
      </c>
      <c r="N93" s="3"/>
      <c r="O93" s="3"/>
      <c r="P93" s="3" t="s">
        <v>23</v>
      </c>
      <c r="Q93" s="3"/>
      <c r="R93" s="3"/>
      <c r="S93" s="3"/>
      <c r="T93" s="3"/>
      <c r="U93" s="3" t="s">
        <v>24</v>
      </c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 t="s">
        <v>39</v>
      </c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s="1" customFormat="1" ht="126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3" t="s">
        <v>25</v>
      </c>
      <c r="V94" s="13"/>
      <c r="W94" s="13"/>
      <c r="X94" s="13" t="s">
        <v>26</v>
      </c>
      <c r="Y94" s="13"/>
      <c r="Z94" s="13"/>
      <c r="AA94" s="13"/>
      <c r="AB94" s="13" t="s">
        <v>27</v>
      </c>
      <c r="AC94" s="13"/>
      <c r="AD94" s="13"/>
      <c r="AE94" s="14" t="s">
        <v>28</v>
      </c>
      <c r="AF94" s="14" t="s">
        <v>29</v>
      </c>
      <c r="AG94" s="13" t="s">
        <v>30</v>
      </c>
      <c r="AH94" s="13"/>
      <c r="AI94" s="13"/>
      <c r="AJ94" s="13" t="s">
        <v>31</v>
      </c>
      <c r="AK94" s="13"/>
      <c r="AL94" s="13" t="s">
        <v>32</v>
      </c>
      <c r="AM94" s="13"/>
      <c r="AN94" s="13" t="s">
        <v>33</v>
      </c>
      <c r="AO94" s="13"/>
      <c r="AP94" s="13" t="s">
        <v>34</v>
      </c>
      <c r="AQ94" s="13"/>
      <c r="AR94" s="13"/>
      <c r="AS94" s="14" t="s">
        <v>35</v>
      </c>
      <c r="AT94" s="13" t="s">
        <v>36</v>
      </c>
      <c r="AU94" s="13"/>
      <c r="AV94" s="13"/>
      <c r="AW94" s="13" t="s">
        <v>37</v>
      </c>
      <c r="AX94" s="13"/>
      <c r="AY94" s="13" t="s">
        <v>38</v>
      </c>
      <c r="AZ94" s="13"/>
      <c r="BA94" s="13" t="s">
        <v>25</v>
      </c>
      <c r="BB94" s="13"/>
      <c r="BC94" s="13"/>
      <c r="BD94" s="13" t="s">
        <v>26</v>
      </c>
      <c r="BE94" s="13"/>
      <c r="BF94" s="13" t="s">
        <v>27</v>
      </c>
      <c r="BG94" s="13"/>
      <c r="BH94" s="14" t="s">
        <v>28</v>
      </c>
      <c r="BI94" s="14" t="s">
        <v>29</v>
      </c>
      <c r="BJ94" s="14" t="s">
        <v>30</v>
      </c>
      <c r="BK94" s="14" t="s">
        <v>31</v>
      </c>
      <c r="BL94" s="14" t="s">
        <v>32</v>
      </c>
      <c r="BM94" s="14" t="s">
        <v>33</v>
      </c>
      <c r="BN94" s="14" t="s">
        <v>34</v>
      </c>
      <c r="BO94" s="14" t="s">
        <v>35</v>
      </c>
      <c r="BP94" s="14" t="s">
        <v>36</v>
      </c>
      <c r="BQ94" s="13" t="s">
        <v>37</v>
      </c>
      <c r="BR94" s="13"/>
      <c r="BS94" s="13"/>
      <c r="BT94" s="14" t="s">
        <v>38</v>
      </c>
    </row>
    <row r="95" spans="1:72" s="1" customFormat="1" ht="13.5" customHeight="1">
      <c r="A95" s="3" t="s">
        <v>40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 t="s">
        <v>41</v>
      </c>
      <c r="N95" s="3"/>
      <c r="O95" s="3"/>
      <c r="P95" s="3" t="s">
        <v>42</v>
      </c>
      <c r="Q95" s="3"/>
      <c r="R95" s="3"/>
      <c r="S95" s="3"/>
      <c r="T95" s="3"/>
      <c r="U95" s="3" t="s">
        <v>43</v>
      </c>
      <c r="V95" s="3"/>
      <c r="W95" s="3"/>
      <c r="X95" s="3" t="s">
        <v>44</v>
      </c>
      <c r="Y95" s="3"/>
      <c r="Z95" s="3"/>
      <c r="AA95" s="3"/>
      <c r="AB95" s="3" t="s">
        <v>45</v>
      </c>
      <c r="AC95" s="3"/>
      <c r="AD95" s="3"/>
      <c r="AE95" s="15" t="s">
        <v>46</v>
      </c>
      <c r="AF95" s="15" t="s">
        <v>47</v>
      </c>
      <c r="AG95" s="3" t="s">
        <v>48</v>
      </c>
      <c r="AH95" s="3"/>
      <c r="AI95" s="3"/>
      <c r="AJ95" s="3" t="s">
        <v>49</v>
      </c>
      <c r="AK95" s="3"/>
      <c r="AL95" s="3" t="s">
        <v>50</v>
      </c>
      <c r="AM95" s="3"/>
      <c r="AN95" s="3" t="s">
        <v>51</v>
      </c>
      <c r="AO95" s="3"/>
      <c r="AP95" s="3" t="s">
        <v>52</v>
      </c>
      <c r="AQ95" s="3"/>
      <c r="AR95" s="3"/>
      <c r="AS95" s="15" t="s">
        <v>53</v>
      </c>
      <c r="AT95" s="3" t="s">
        <v>54</v>
      </c>
      <c r="AU95" s="3"/>
      <c r="AV95" s="3"/>
      <c r="AW95" s="3" t="s">
        <v>55</v>
      </c>
      <c r="AX95" s="3"/>
      <c r="AY95" s="3" t="s">
        <v>56</v>
      </c>
      <c r="AZ95" s="3"/>
      <c r="BA95" s="3" t="s">
        <v>57</v>
      </c>
      <c r="BB95" s="3"/>
      <c r="BC95" s="3"/>
      <c r="BD95" s="3" t="s">
        <v>58</v>
      </c>
      <c r="BE95" s="3"/>
      <c r="BF95" s="3" t="s">
        <v>59</v>
      </c>
      <c r="BG95" s="3"/>
      <c r="BH95" s="15" t="s">
        <v>60</v>
      </c>
      <c r="BI95" s="15" t="s">
        <v>61</v>
      </c>
      <c r="BJ95" s="15" t="s">
        <v>62</v>
      </c>
      <c r="BK95" s="15" t="s">
        <v>63</v>
      </c>
      <c r="BL95" s="15" t="s">
        <v>64</v>
      </c>
      <c r="BM95" s="15" t="s">
        <v>65</v>
      </c>
      <c r="BN95" s="15" t="s">
        <v>66</v>
      </c>
      <c r="BO95" s="15" t="s">
        <v>67</v>
      </c>
      <c r="BP95" s="15" t="s">
        <v>68</v>
      </c>
      <c r="BQ95" s="3" t="s">
        <v>69</v>
      </c>
      <c r="BR95" s="3"/>
      <c r="BS95" s="3"/>
      <c r="BT95" s="15" t="s">
        <v>70</v>
      </c>
    </row>
    <row r="96" spans="1:72" s="1" customFormat="1" ht="24" customHeight="1">
      <c r="A96" s="16" t="s">
        <v>228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7" t="s">
        <v>229</v>
      </c>
      <c r="N96" s="17"/>
      <c r="O96" s="17"/>
      <c r="P96" s="17" t="s">
        <v>73</v>
      </c>
      <c r="Q96" s="17"/>
      <c r="R96" s="17"/>
      <c r="S96" s="17"/>
      <c r="T96" s="17"/>
      <c r="U96" s="18">
        <f>55301924.95</f>
        <v>55301924.95</v>
      </c>
      <c r="V96" s="18"/>
      <c r="W96" s="18"/>
      <c r="X96" s="19" t="s">
        <v>74</v>
      </c>
      <c r="Y96" s="19"/>
      <c r="Z96" s="19"/>
      <c r="AA96" s="19"/>
      <c r="AB96" s="18">
        <f>55301924.95</f>
        <v>55301924.95</v>
      </c>
      <c r="AC96" s="18"/>
      <c r="AD96" s="18"/>
      <c r="AE96" s="20">
        <f>201970</f>
        <v>201970</v>
      </c>
      <c r="AF96" s="21" t="s">
        <v>74</v>
      </c>
      <c r="AG96" s="19" t="s">
        <v>74</v>
      </c>
      <c r="AH96" s="19"/>
      <c r="AI96" s="19"/>
      <c r="AJ96" s="19" t="s">
        <v>74</v>
      </c>
      <c r="AK96" s="19"/>
      <c r="AL96" s="19" t="s">
        <v>74</v>
      </c>
      <c r="AM96" s="19"/>
      <c r="AN96" s="19" t="s">
        <v>74</v>
      </c>
      <c r="AO96" s="19"/>
      <c r="AP96" s="19" t="s">
        <v>74</v>
      </c>
      <c r="AQ96" s="19"/>
      <c r="AR96" s="19"/>
      <c r="AS96" s="21" t="s">
        <v>74</v>
      </c>
      <c r="AT96" s="19" t="s">
        <v>74</v>
      </c>
      <c r="AU96" s="19"/>
      <c r="AV96" s="19"/>
      <c r="AW96" s="18">
        <f>55503894.95</f>
        <v>55503894.95</v>
      </c>
      <c r="AX96" s="18"/>
      <c r="AY96" s="19" t="s">
        <v>74</v>
      </c>
      <c r="AZ96" s="19"/>
      <c r="BA96" s="18">
        <f>17212766.28</f>
        <v>17212766.28</v>
      </c>
      <c r="BB96" s="18"/>
      <c r="BC96" s="18"/>
      <c r="BD96" s="19" t="s">
        <v>74</v>
      </c>
      <c r="BE96" s="19"/>
      <c r="BF96" s="18">
        <f>17212766.28</f>
        <v>17212766.28</v>
      </c>
      <c r="BG96" s="18"/>
      <c r="BH96" s="20">
        <f>97882</f>
        <v>97882</v>
      </c>
      <c r="BI96" s="21" t="s">
        <v>74</v>
      </c>
      <c r="BJ96" s="21" t="s">
        <v>74</v>
      </c>
      <c r="BK96" s="21" t="s">
        <v>74</v>
      </c>
      <c r="BL96" s="21" t="s">
        <v>74</v>
      </c>
      <c r="BM96" s="21" t="s">
        <v>74</v>
      </c>
      <c r="BN96" s="21" t="s">
        <v>74</v>
      </c>
      <c r="BO96" s="21" t="s">
        <v>74</v>
      </c>
      <c r="BP96" s="21" t="s">
        <v>74</v>
      </c>
      <c r="BQ96" s="18">
        <f>17310648.28</f>
        <v>17310648.28</v>
      </c>
      <c r="BR96" s="18"/>
      <c r="BS96" s="18"/>
      <c r="BT96" s="22" t="s">
        <v>74</v>
      </c>
    </row>
    <row r="97" spans="1:72" s="1" customFormat="1" ht="13.5" customHeight="1">
      <c r="A97" s="16" t="s">
        <v>230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229</v>
      </c>
      <c r="N97" s="23"/>
      <c r="O97" s="23"/>
      <c r="P97" s="31" t="s">
        <v>231</v>
      </c>
      <c r="Q97" s="31"/>
      <c r="R97" s="31"/>
      <c r="S97" s="31"/>
      <c r="T97" s="31"/>
      <c r="U97" s="24">
        <f>14108670</f>
        <v>14108670</v>
      </c>
      <c r="V97" s="24"/>
      <c r="W97" s="24"/>
      <c r="X97" s="25" t="s">
        <v>74</v>
      </c>
      <c r="Y97" s="25"/>
      <c r="Z97" s="25"/>
      <c r="AA97" s="25"/>
      <c r="AB97" s="24">
        <f>14108670</f>
        <v>14108670</v>
      </c>
      <c r="AC97" s="24"/>
      <c r="AD97" s="24"/>
      <c r="AE97" s="28">
        <f>152568</f>
        <v>152568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14261238</f>
        <v>14261238</v>
      </c>
      <c r="AX97" s="24"/>
      <c r="AY97" s="25" t="s">
        <v>74</v>
      </c>
      <c r="AZ97" s="25"/>
      <c r="BA97" s="24">
        <f>5743203.38</f>
        <v>5743203.38</v>
      </c>
      <c r="BB97" s="24"/>
      <c r="BC97" s="24"/>
      <c r="BD97" s="25" t="s">
        <v>74</v>
      </c>
      <c r="BE97" s="25"/>
      <c r="BF97" s="24">
        <f>5743203.38</f>
        <v>5743203.38</v>
      </c>
      <c r="BG97" s="24"/>
      <c r="BH97" s="28">
        <f>48480</f>
        <v>48480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5791683.38</f>
        <v>5791683.38</v>
      </c>
      <c r="BR97" s="24"/>
      <c r="BS97" s="24"/>
      <c r="BT97" s="27" t="s">
        <v>74</v>
      </c>
    </row>
    <row r="98" spans="1:72" s="1" customFormat="1" ht="33.75" customHeight="1">
      <c r="A98" s="16" t="s">
        <v>232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229</v>
      </c>
      <c r="N98" s="23"/>
      <c r="O98" s="23"/>
      <c r="P98" s="31" t="s">
        <v>233</v>
      </c>
      <c r="Q98" s="31"/>
      <c r="R98" s="31"/>
      <c r="S98" s="31"/>
      <c r="T98" s="31"/>
      <c r="U98" s="24">
        <f>1084529</f>
        <v>1084529</v>
      </c>
      <c r="V98" s="24"/>
      <c r="W98" s="24"/>
      <c r="X98" s="25" t="s">
        <v>74</v>
      </c>
      <c r="Y98" s="25"/>
      <c r="Z98" s="25"/>
      <c r="AA98" s="25"/>
      <c r="AB98" s="24">
        <f>1084529</f>
        <v>1084529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1084529</f>
        <v>1084529</v>
      </c>
      <c r="AX98" s="24"/>
      <c r="AY98" s="25" t="s">
        <v>74</v>
      </c>
      <c r="AZ98" s="25"/>
      <c r="BA98" s="24">
        <f>547825.01</f>
        <v>547825.01</v>
      </c>
      <c r="BB98" s="24"/>
      <c r="BC98" s="24"/>
      <c r="BD98" s="25" t="s">
        <v>74</v>
      </c>
      <c r="BE98" s="25"/>
      <c r="BF98" s="24">
        <f>547825.01</f>
        <v>547825.01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547825.01</f>
        <v>547825.01</v>
      </c>
      <c r="BR98" s="24"/>
      <c r="BS98" s="24"/>
      <c r="BT98" s="27" t="s">
        <v>74</v>
      </c>
    </row>
    <row r="99" spans="1:72" s="1" customFormat="1" ht="54.75" customHeight="1">
      <c r="A99" s="16" t="s">
        <v>234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229</v>
      </c>
      <c r="N99" s="23"/>
      <c r="O99" s="23"/>
      <c r="P99" s="31" t="s">
        <v>235</v>
      </c>
      <c r="Q99" s="31"/>
      <c r="R99" s="31"/>
      <c r="S99" s="31"/>
      <c r="T99" s="31"/>
      <c r="U99" s="24">
        <f>1084529</f>
        <v>1084529</v>
      </c>
      <c r="V99" s="24"/>
      <c r="W99" s="24"/>
      <c r="X99" s="25" t="s">
        <v>74</v>
      </c>
      <c r="Y99" s="25"/>
      <c r="Z99" s="25"/>
      <c r="AA99" s="25"/>
      <c r="AB99" s="24">
        <f>1084529</f>
        <v>1084529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1084529</f>
        <v>1084529</v>
      </c>
      <c r="AX99" s="24"/>
      <c r="AY99" s="25" t="s">
        <v>74</v>
      </c>
      <c r="AZ99" s="25"/>
      <c r="BA99" s="24">
        <f>547825.01</f>
        <v>547825.01</v>
      </c>
      <c r="BB99" s="24"/>
      <c r="BC99" s="24"/>
      <c r="BD99" s="25" t="s">
        <v>74</v>
      </c>
      <c r="BE99" s="25"/>
      <c r="BF99" s="24">
        <f>547825.01</f>
        <v>547825.01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547825.01</f>
        <v>547825.01</v>
      </c>
      <c r="BR99" s="24"/>
      <c r="BS99" s="24"/>
      <c r="BT99" s="27" t="s">
        <v>74</v>
      </c>
    </row>
    <row r="100" spans="1:72" s="1" customFormat="1" ht="24" customHeight="1">
      <c r="A100" s="16" t="s">
        <v>236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229</v>
      </c>
      <c r="N100" s="23"/>
      <c r="O100" s="23"/>
      <c r="P100" s="31" t="s">
        <v>237</v>
      </c>
      <c r="Q100" s="31"/>
      <c r="R100" s="31"/>
      <c r="S100" s="31"/>
      <c r="T100" s="31"/>
      <c r="U100" s="24">
        <f>1084529</f>
        <v>1084529</v>
      </c>
      <c r="V100" s="24"/>
      <c r="W100" s="24"/>
      <c r="X100" s="25" t="s">
        <v>74</v>
      </c>
      <c r="Y100" s="25"/>
      <c r="Z100" s="25"/>
      <c r="AA100" s="25"/>
      <c r="AB100" s="24">
        <f>1084529</f>
        <v>1084529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1084529</f>
        <v>1084529</v>
      </c>
      <c r="AX100" s="24"/>
      <c r="AY100" s="25" t="s">
        <v>74</v>
      </c>
      <c r="AZ100" s="25"/>
      <c r="BA100" s="24">
        <f>547825.01</f>
        <v>547825.01</v>
      </c>
      <c r="BB100" s="24"/>
      <c r="BC100" s="24"/>
      <c r="BD100" s="25" t="s">
        <v>74</v>
      </c>
      <c r="BE100" s="25"/>
      <c r="BF100" s="24">
        <f>547825.01</f>
        <v>547825.01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547825.01</f>
        <v>547825.01</v>
      </c>
      <c r="BR100" s="24"/>
      <c r="BS100" s="24"/>
      <c r="BT100" s="27" t="s">
        <v>74</v>
      </c>
    </row>
    <row r="101" spans="1:72" s="1" customFormat="1" ht="24" customHeight="1">
      <c r="A101" s="16" t="s">
        <v>238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229</v>
      </c>
      <c r="N101" s="23"/>
      <c r="O101" s="23"/>
      <c r="P101" s="31" t="s">
        <v>239</v>
      </c>
      <c r="Q101" s="31"/>
      <c r="R101" s="31"/>
      <c r="S101" s="31"/>
      <c r="T101" s="31"/>
      <c r="U101" s="24">
        <f>832928</f>
        <v>832928</v>
      </c>
      <c r="V101" s="24"/>
      <c r="W101" s="24"/>
      <c r="X101" s="25" t="s">
        <v>74</v>
      </c>
      <c r="Y101" s="25"/>
      <c r="Z101" s="25"/>
      <c r="AA101" s="25"/>
      <c r="AB101" s="24">
        <f>832928</f>
        <v>832928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832928</f>
        <v>832928</v>
      </c>
      <c r="AX101" s="24"/>
      <c r="AY101" s="25" t="s">
        <v>74</v>
      </c>
      <c r="AZ101" s="25"/>
      <c r="BA101" s="24">
        <f>451686.01</f>
        <v>451686.01</v>
      </c>
      <c r="BB101" s="24"/>
      <c r="BC101" s="24"/>
      <c r="BD101" s="25" t="s">
        <v>74</v>
      </c>
      <c r="BE101" s="25"/>
      <c r="BF101" s="24">
        <f>451686.01</f>
        <v>451686.01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451686.01</f>
        <v>451686.01</v>
      </c>
      <c r="BR101" s="24"/>
      <c r="BS101" s="24"/>
      <c r="BT101" s="27" t="s">
        <v>74</v>
      </c>
    </row>
    <row r="102" spans="1:72" s="1" customFormat="1" ht="33.75" customHeight="1">
      <c r="A102" s="16" t="s">
        <v>240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229</v>
      </c>
      <c r="N102" s="23"/>
      <c r="O102" s="23"/>
      <c r="P102" s="31" t="s">
        <v>241</v>
      </c>
      <c r="Q102" s="31"/>
      <c r="R102" s="31"/>
      <c r="S102" s="31"/>
      <c r="T102" s="31"/>
      <c r="U102" s="24">
        <f>251601</f>
        <v>251601</v>
      </c>
      <c r="V102" s="24"/>
      <c r="W102" s="24"/>
      <c r="X102" s="25" t="s">
        <v>74</v>
      </c>
      <c r="Y102" s="25"/>
      <c r="Z102" s="25"/>
      <c r="AA102" s="25"/>
      <c r="AB102" s="24">
        <f>251601</f>
        <v>251601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251601</f>
        <v>251601</v>
      </c>
      <c r="AX102" s="24"/>
      <c r="AY102" s="25" t="s">
        <v>74</v>
      </c>
      <c r="AZ102" s="25"/>
      <c r="BA102" s="24">
        <f>96139</f>
        <v>96139</v>
      </c>
      <c r="BB102" s="24"/>
      <c r="BC102" s="24"/>
      <c r="BD102" s="25" t="s">
        <v>74</v>
      </c>
      <c r="BE102" s="25"/>
      <c r="BF102" s="24">
        <f>96139</f>
        <v>96139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96139</f>
        <v>96139</v>
      </c>
      <c r="BR102" s="24"/>
      <c r="BS102" s="24"/>
      <c r="BT102" s="27" t="s">
        <v>74</v>
      </c>
    </row>
    <row r="103" spans="1:72" s="1" customFormat="1" ht="45" customHeight="1">
      <c r="A103" s="16" t="s">
        <v>242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229</v>
      </c>
      <c r="N103" s="23"/>
      <c r="O103" s="23"/>
      <c r="P103" s="31" t="s">
        <v>243</v>
      </c>
      <c r="Q103" s="31"/>
      <c r="R103" s="31"/>
      <c r="S103" s="31"/>
      <c r="T103" s="31"/>
      <c r="U103" s="24">
        <f>6961635</f>
        <v>6961635</v>
      </c>
      <c r="V103" s="24"/>
      <c r="W103" s="24"/>
      <c r="X103" s="25" t="s">
        <v>74</v>
      </c>
      <c r="Y103" s="25"/>
      <c r="Z103" s="25"/>
      <c r="AA103" s="25"/>
      <c r="AB103" s="24">
        <f>6961635</f>
        <v>6961635</v>
      </c>
      <c r="AC103" s="24"/>
      <c r="AD103" s="24"/>
      <c r="AE103" s="28">
        <f>51840</f>
        <v>51840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7013475</f>
        <v>7013475</v>
      </c>
      <c r="AX103" s="24"/>
      <c r="AY103" s="25" t="s">
        <v>74</v>
      </c>
      <c r="AZ103" s="25"/>
      <c r="BA103" s="24">
        <f>2840505.59</f>
        <v>2840505.59</v>
      </c>
      <c r="BB103" s="24"/>
      <c r="BC103" s="24"/>
      <c r="BD103" s="25" t="s">
        <v>74</v>
      </c>
      <c r="BE103" s="25"/>
      <c r="BF103" s="24">
        <f>2840505.59</f>
        <v>2840505.59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2840505.59</f>
        <v>2840505.59</v>
      </c>
      <c r="BR103" s="24"/>
      <c r="BS103" s="24"/>
      <c r="BT103" s="27" t="s">
        <v>74</v>
      </c>
    </row>
    <row r="104" spans="1:72" s="1" customFormat="1" ht="54.75" customHeight="1">
      <c r="A104" s="16" t="s">
        <v>234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229</v>
      </c>
      <c r="N104" s="23"/>
      <c r="O104" s="23"/>
      <c r="P104" s="31" t="s">
        <v>244</v>
      </c>
      <c r="Q104" s="31"/>
      <c r="R104" s="31"/>
      <c r="S104" s="31"/>
      <c r="T104" s="31"/>
      <c r="U104" s="24">
        <f>5047599</f>
        <v>5047599</v>
      </c>
      <c r="V104" s="24"/>
      <c r="W104" s="24"/>
      <c r="X104" s="25" t="s">
        <v>74</v>
      </c>
      <c r="Y104" s="25"/>
      <c r="Z104" s="25"/>
      <c r="AA104" s="25"/>
      <c r="AB104" s="24">
        <f>5047599</f>
        <v>5047599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5047599</f>
        <v>5047599</v>
      </c>
      <c r="AX104" s="24"/>
      <c r="AY104" s="25" t="s">
        <v>74</v>
      </c>
      <c r="AZ104" s="25"/>
      <c r="BA104" s="24">
        <f>2042836.47</f>
        <v>2042836.47</v>
      </c>
      <c r="BB104" s="24"/>
      <c r="BC104" s="24"/>
      <c r="BD104" s="25" t="s">
        <v>74</v>
      </c>
      <c r="BE104" s="25"/>
      <c r="BF104" s="24">
        <f>2042836.47</f>
        <v>2042836.47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2042836.47</f>
        <v>2042836.47</v>
      </c>
      <c r="BR104" s="24"/>
      <c r="BS104" s="24"/>
      <c r="BT104" s="27" t="s">
        <v>74</v>
      </c>
    </row>
    <row r="105" spans="1:72" s="1" customFormat="1" ht="24" customHeight="1">
      <c r="A105" s="16" t="s">
        <v>236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229</v>
      </c>
      <c r="N105" s="23"/>
      <c r="O105" s="23"/>
      <c r="P105" s="31" t="s">
        <v>245</v>
      </c>
      <c r="Q105" s="31"/>
      <c r="R105" s="31"/>
      <c r="S105" s="31"/>
      <c r="T105" s="31"/>
      <c r="U105" s="24">
        <f>5047599</f>
        <v>5047599</v>
      </c>
      <c r="V105" s="24"/>
      <c r="W105" s="24"/>
      <c r="X105" s="25" t="s">
        <v>74</v>
      </c>
      <c r="Y105" s="25"/>
      <c r="Z105" s="25"/>
      <c r="AA105" s="25"/>
      <c r="AB105" s="24">
        <f>5047599</f>
        <v>5047599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5047599</f>
        <v>5047599</v>
      </c>
      <c r="AX105" s="24"/>
      <c r="AY105" s="25" t="s">
        <v>74</v>
      </c>
      <c r="AZ105" s="25"/>
      <c r="BA105" s="24">
        <f>2042836.47</f>
        <v>2042836.47</v>
      </c>
      <c r="BB105" s="24"/>
      <c r="BC105" s="24"/>
      <c r="BD105" s="25" t="s">
        <v>74</v>
      </c>
      <c r="BE105" s="25"/>
      <c r="BF105" s="24">
        <f>2042836.47</f>
        <v>2042836.47</v>
      </c>
      <c r="BG105" s="24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2042836.47</f>
        <v>2042836.47</v>
      </c>
      <c r="BR105" s="24"/>
      <c r="BS105" s="24"/>
      <c r="BT105" s="27" t="s">
        <v>74</v>
      </c>
    </row>
    <row r="106" spans="1:72" s="1" customFormat="1" ht="24" customHeight="1">
      <c r="A106" s="16" t="s">
        <v>238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229</v>
      </c>
      <c r="N106" s="23"/>
      <c r="O106" s="23"/>
      <c r="P106" s="31" t="s">
        <v>246</v>
      </c>
      <c r="Q106" s="31"/>
      <c r="R106" s="31"/>
      <c r="S106" s="31"/>
      <c r="T106" s="31"/>
      <c r="U106" s="24">
        <f>3892742</f>
        <v>3892742</v>
      </c>
      <c r="V106" s="24"/>
      <c r="W106" s="24"/>
      <c r="X106" s="25" t="s">
        <v>74</v>
      </c>
      <c r="Y106" s="25"/>
      <c r="Z106" s="25"/>
      <c r="AA106" s="25"/>
      <c r="AB106" s="24">
        <f>3892742</f>
        <v>3892742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3892742</f>
        <v>3892742</v>
      </c>
      <c r="AX106" s="24"/>
      <c r="AY106" s="25" t="s">
        <v>74</v>
      </c>
      <c r="AZ106" s="25"/>
      <c r="BA106" s="24">
        <f>1636666.47</f>
        <v>1636666.47</v>
      </c>
      <c r="BB106" s="24"/>
      <c r="BC106" s="24"/>
      <c r="BD106" s="25" t="s">
        <v>74</v>
      </c>
      <c r="BE106" s="25"/>
      <c r="BF106" s="24">
        <f>1636666.47</f>
        <v>1636666.47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1636666.47</f>
        <v>1636666.47</v>
      </c>
      <c r="BR106" s="24"/>
      <c r="BS106" s="24"/>
      <c r="BT106" s="27" t="s">
        <v>74</v>
      </c>
    </row>
    <row r="107" spans="1:72" s="1" customFormat="1" ht="33.75" customHeight="1">
      <c r="A107" s="16" t="s">
        <v>240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229</v>
      </c>
      <c r="N107" s="23"/>
      <c r="O107" s="23"/>
      <c r="P107" s="31" t="s">
        <v>247</v>
      </c>
      <c r="Q107" s="31"/>
      <c r="R107" s="31"/>
      <c r="S107" s="31"/>
      <c r="T107" s="31"/>
      <c r="U107" s="24">
        <f>1154857</f>
        <v>1154857</v>
      </c>
      <c r="V107" s="24"/>
      <c r="W107" s="24"/>
      <c r="X107" s="25" t="s">
        <v>74</v>
      </c>
      <c r="Y107" s="25"/>
      <c r="Z107" s="25"/>
      <c r="AA107" s="25"/>
      <c r="AB107" s="24">
        <f>1154857</f>
        <v>1154857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1154857</f>
        <v>1154857</v>
      </c>
      <c r="AX107" s="24"/>
      <c r="AY107" s="25" t="s">
        <v>74</v>
      </c>
      <c r="AZ107" s="25"/>
      <c r="BA107" s="24">
        <f>406170</f>
        <v>406170</v>
      </c>
      <c r="BB107" s="24"/>
      <c r="BC107" s="24"/>
      <c r="BD107" s="25" t="s">
        <v>74</v>
      </c>
      <c r="BE107" s="25"/>
      <c r="BF107" s="24">
        <f>406170</f>
        <v>406170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406170</f>
        <v>406170</v>
      </c>
      <c r="BR107" s="24"/>
      <c r="BS107" s="24"/>
      <c r="BT107" s="27" t="s">
        <v>74</v>
      </c>
    </row>
    <row r="108" spans="1:72" s="1" customFormat="1" ht="24" customHeight="1">
      <c r="A108" s="16" t="s">
        <v>248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229</v>
      </c>
      <c r="N108" s="23"/>
      <c r="O108" s="23"/>
      <c r="P108" s="31" t="s">
        <v>249</v>
      </c>
      <c r="Q108" s="31"/>
      <c r="R108" s="31"/>
      <c r="S108" s="31"/>
      <c r="T108" s="31"/>
      <c r="U108" s="24">
        <f>1858836</f>
        <v>1858836</v>
      </c>
      <c r="V108" s="24"/>
      <c r="W108" s="24"/>
      <c r="X108" s="25" t="s">
        <v>74</v>
      </c>
      <c r="Y108" s="25"/>
      <c r="Z108" s="25"/>
      <c r="AA108" s="25"/>
      <c r="AB108" s="24">
        <f>1858836</f>
        <v>1858836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1858836</f>
        <v>1858836</v>
      </c>
      <c r="AX108" s="24"/>
      <c r="AY108" s="25" t="s">
        <v>74</v>
      </c>
      <c r="AZ108" s="25"/>
      <c r="BA108" s="24">
        <f>793169.12</f>
        <v>793169.12</v>
      </c>
      <c r="BB108" s="24"/>
      <c r="BC108" s="24"/>
      <c r="BD108" s="25" t="s">
        <v>74</v>
      </c>
      <c r="BE108" s="25"/>
      <c r="BF108" s="24">
        <f>793169.12</f>
        <v>793169.12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793169.12</f>
        <v>793169.12</v>
      </c>
      <c r="BR108" s="24"/>
      <c r="BS108" s="24"/>
      <c r="BT108" s="27" t="s">
        <v>74</v>
      </c>
    </row>
    <row r="109" spans="1:72" s="1" customFormat="1" ht="24" customHeight="1">
      <c r="A109" s="16" t="s">
        <v>250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229</v>
      </c>
      <c r="N109" s="23"/>
      <c r="O109" s="23"/>
      <c r="P109" s="31" t="s">
        <v>251</v>
      </c>
      <c r="Q109" s="31"/>
      <c r="R109" s="31"/>
      <c r="S109" s="31"/>
      <c r="T109" s="31"/>
      <c r="U109" s="24">
        <f>1858836</f>
        <v>1858836</v>
      </c>
      <c r="V109" s="24"/>
      <c r="W109" s="24"/>
      <c r="X109" s="25" t="s">
        <v>74</v>
      </c>
      <c r="Y109" s="25"/>
      <c r="Z109" s="25"/>
      <c r="AA109" s="25"/>
      <c r="AB109" s="24">
        <f>1858836</f>
        <v>1858836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1858836</f>
        <v>1858836</v>
      </c>
      <c r="AX109" s="24"/>
      <c r="AY109" s="25" t="s">
        <v>74</v>
      </c>
      <c r="AZ109" s="25"/>
      <c r="BA109" s="24">
        <f>793169.12</f>
        <v>793169.12</v>
      </c>
      <c r="BB109" s="24"/>
      <c r="BC109" s="24"/>
      <c r="BD109" s="25" t="s">
        <v>74</v>
      </c>
      <c r="BE109" s="25"/>
      <c r="BF109" s="24">
        <f>793169.12</f>
        <v>793169.12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793169.12</f>
        <v>793169.12</v>
      </c>
      <c r="BR109" s="24"/>
      <c r="BS109" s="24"/>
      <c r="BT109" s="27" t="s">
        <v>74</v>
      </c>
    </row>
    <row r="110" spans="1:72" s="1" customFormat="1" ht="13.5" customHeight="1">
      <c r="A110" s="16" t="s">
        <v>252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229</v>
      </c>
      <c r="N110" s="23"/>
      <c r="O110" s="23"/>
      <c r="P110" s="31" t="s">
        <v>253</v>
      </c>
      <c r="Q110" s="31"/>
      <c r="R110" s="31"/>
      <c r="S110" s="31"/>
      <c r="T110" s="31"/>
      <c r="U110" s="24">
        <f>1685343</f>
        <v>1685343</v>
      </c>
      <c r="V110" s="24"/>
      <c r="W110" s="24"/>
      <c r="X110" s="25" t="s">
        <v>74</v>
      </c>
      <c r="Y110" s="25"/>
      <c r="Z110" s="25"/>
      <c r="AA110" s="25"/>
      <c r="AB110" s="24">
        <f>1685343</f>
        <v>1685343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1685343</f>
        <v>1685343</v>
      </c>
      <c r="AX110" s="24"/>
      <c r="AY110" s="25" t="s">
        <v>74</v>
      </c>
      <c r="AZ110" s="25"/>
      <c r="BA110" s="24">
        <f>704956.39</f>
        <v>704956.39</v>
      </c>
      <c r="BB110" s="24"/>
      <c r="BC110" s="24"/>
      <c r="BD110" s="25" t="s">
        <v>74</v>
      </c>
      <c r="BE110" s="25"/>
      <c r="BF110" s="24">
        <f>704956.39</f>
        <v>704956.39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704956.39</f>
        <v>704956.39</v>
      </c>
      <c r="BR110" s="24"/>
      <c r="BS110" s="24"/>
      <c r="BT110" s="27" t="s">
        <v>74</v>
      </c>
    </row>
    <row r="111" spans="1:72" s="1" customFormat="1" ht="13.5" customHeight="1">
      <c r="A111" s="16" t="s">
        <v>254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229</v>
      </c>
      <c r="N111" s="23"/>
      <c r="O111" s="23"/>
      <c r="P111" s="31" t="s">
        <v>255</v>
      </c>
      <c r="Q111" s="31"/>
      <c r="R111" s="31"/>
      <c r="S111" s="31"/>
      <c r="T111" s="31"/>
      <c r="U111" s="24">
        <f>173493</f>
        <v>173493</v>
      </c>
      <c r="V111" s="24"/>
      <c r="W111" s="24"/>
      <c r="X111" s="25" t="s">
        <v>74</v>
      </c>
      <c r="Y111" s="25"/>
      <c r="Z111" s="25"/>
      <c r="AA111" s="25"/>
      <c r="AB111" s="24">
        <f>173493</f>
        <v>173493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173493</f>
        <v>173493</v>
      </c>
      <c r="AX111" s="24"/>
      <c r="AY111" s="25" t="s">
        <v>74</v>
      </c>
      <c r="AZ111" s="25"/>
      <c r="BA111" s="24">
        <f>88212.73</f>
        <v>88212.73</v>
      </c>
      <c r="BB111" s="24"/>
      <c r="BC111" s="24"/>
      <c r="BD111" s="25" t="s">
        <v>74</v>
      </c>
      <c r="BE111" s="25"/>
      <c r="BF111" s="24">
        <f>88212.73</f>
        <v>88212.73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88212.73</f>
        <v>88212.73</v>
      </c>
      <c r="BR111" s="24"/>
      <c r="BS111" s="24"/>
      <c r="BT111" s="27" t="s">
        <v>74</v>
      </c>
    </row>
    <row r="112" spans="1:72" s="1" customFormat="1" ht="13.5" customHeight="1">
      <c r="A112" s="16" t="s">
        <v>256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229</v>
      </c>
      <c r="N112" s="23"/>
      <c r="O112" s="23"/>
      <c r="P112" s="31" t="s">
        <v>257</v>
      </c>
      <c r="Q112" s="31"/>
      <c r="R112" s="31"/>
      <c r="S112" s="31"/>
      <c r="T112" s="31"/>
      <c r="U112" s="24">
        <f>0</f>
        <v>0</v>
      </c>
      <c r="V112" s="24"/>
      <c r="W112" s="24"/>
      <c r="X112" s="25" t="s">
        <v>74</v>
      </c>
      <c r="Y112" s="25"/>
      <c r="Z112" s="25"/>
      <c r="AA112" s="25"/>
      <c r="AB112" s="24">
        <f>0</f>
        <v>0</v>
      </c>
      <c r="AC112" s="24"/>
      <c r="AD112" s="24"/>
      <c r="AE112" s="28">
        <f>51840</f>
        <v>51840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51840</f>
        <v>51840</v>
      </c>
      <c r="AX112" s="24"/>
      <c r="AY112" s="25" t="s">
        <v>74</v>
      </c>
      <c r="AZ112" s="25"/>
      <c r="BA112" s="25" t="s">
        <v>74</v>
      </c>
      <c r="BB112" s="25"/>
      <c r="BC112" s="25"/>
      <c r="BD112" s="25" t="s">
        <v>74</v>
      </c>
      <c r="BE112" s="25"/>
      <c r="BF112" s="25" t="s">
        <v>74</v>
      </c>
      <c r="BG112" s="25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5" t="s">
        <v>74</v>
      </c>
      <c r="BR112" s="25"/>
      <c r="BS112" s="25"/>
      <c r="BT112" s="27" t="s">
        <v>74</v>
      </c>
    </row>
    <row r="113" spans="1:72" s="1" customFormat="1" ht="13.5" customHeight="1">
      <c r="A113" s="16" t="s">
        <v>216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229</v>
      </c>
      <c r="N113" s="23"/>
      <c r="O113" s="23"/>
      <c r="P113" s="31" t="s">
        <v>258</v>
      </c>
      <c r="Q113" s="31"/>
      <c r="R113" s="31"/>
      <c r="S113" s="31"/>
      <c r="T113" s="31"/>
      <c r="U113" s="24">
        <f>0</f>
        <v>0</v>
      </c>
      <c r="V113" s="24"/>
      <c r="W113" s="24"/>
      <c r="X113" s="25" t="s">
        <v>74</v>
      </c>
      <c r="Y113" s="25"/>
      <c r="Z113" s="25"/>
      <c r="AA113" s="25"/>
      <c r="AB113" s="24">
        <f>0</f>
        <v>0</v>
      </c>
      <c r="AC113" s="24"/>
      <c r="AD113" s="24"/>
      <c r="AE113" s="28">
        <f>51840</f>
        <v>51840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51840</f>
        <v>51840</v>
      </c>
      <c r="AX113" s="24"/>
      <c r="AY113" s="25" t="s">
        <v>74</v>
      </c>
      <c r="AZ113" s="25"/>
      <c r="BA113" s="25" t="s">
        <v>74</v>
      </c>
      <c r="BB113" s="25"/>
      <c r="BC113" s="25"/>
      <c r="BD113" s="25" t="s">
        <v>74</v>
      </c>
      <c r="BE113" s="25"/>
      <c r="BF113" s="25" t="s">
        <v>74</v>
      </c>
      <c r="BG113" s="25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5" t="s">
        <v>74</v>
      </c>
      <c r="BR113" s="25"/>
      <c r="BS113" s="25"/>
      <c r="BT113" s="27" t="s">
        <v>74</v>
      </c>
    </row>
    <row r="114" spans="1:72" s="1" customFormat="1" ht="13.5" customHeight="1">
      <c r="A114" s="16" t="s">
        <v>259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229</v>
      </c>
      <c r="N114" s="23"/>
      <c r="O114" s="23"/>
      <c r="P114" s="31" t="s">
        <v>260</v>
      </c>
      <c r="Q114" s="31"/>
      <c r="R114" s="31"/>
      <c r="S114" s="31"/>
      <c r="T114" s="31"/>
      <c r="U114" s="24">
        <f>55200</f>
        <v>55200</v>
      </c>
      <c r="V114" s="24"/>
      <c r="W114" s="24"/>
      <c r="X114" s="25" t="s">
        <v>74</v>
      </c>
      <c r="Y114" s="25"/>
      <c r="Z114" s="25"/>
      <c r="AA114" s="25"/>
      <c r="AB114" s="24">
        <f>55200</f>
        <v>55200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55200</f>
        <v>55200</v>
      </c>
      <c r="AX114" s="24"/>
      <c r="AY114" s="25" t="s">
        <v>74</v>
      </c>
      <c r="AZ114" s="25"/>
      <c r="BA114" s="24">
        <f>4500</f>
        <v>4500</v>
      </c>
      <c r="BB114" s="24"/>
      <c r="BC114" s="24"/>
      <c r="BD114" s="25" t="s">
        <v>74</v>
      </c>
      <c r="BE114" s="25"/>
      <c r="BF114" s="24">
        <f>4500</f>
        <v>4500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4500</f>
        <v>4500</v>
      </c>
      <c r="BR114" s="24"/>
      <c r="BS114" s="24"/>
      <c r="BT114" s="27" t="s">
        <v>74</v>
      </c>
    </row>
    <row r="115" spans="1:72" s="1" customFormat="1" ht="13.5" customHeight="1">
      <c r="A115" s="16" t="s">
        <v>261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229</v>
      </c>
      <c r="N115" s="23"/>
      <c r="O115" s="23"/>
      <c r="P115" s="31" t="s">
        <v>262</v>
      </c>
      <c r="Q115" s="31"/>
      <c r="R115" s="31"/>
      <c r="S115" s="31"/>
      <c r="T115" s="31"/>
      <c r="U115" s="24">
        <f>55200</f>
        <v>55200</v>
      </c>
      <c r="V115" s="24"/>
      <c r="W115" s="24"/>
      <c r="X115" s="25" t="s">
        <v>74</v>
      </c>
      <c r="Y115" s="25"/>
      <c r="Z115" s="25"/>
      <c r="AA115" s="25"/>
      <c r="AB115" s="24">
        <f>55200</f>
        <v>55200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55200</f>
        <v>55200</v>
      </c>
      <c r="AX115" s="24"/>
      <c r="AY115" s="25" t="s">
        <v>74</v>
      </c>
      <c r="AZ115" s="25"/>
      <c r="BA115" s="24">
        <f>4500</f>
        <v>4500</v>
      </c>
      <c r="BB115" s="24"/>
      <c r="BC115" s="24"/>
      <c r="BD115" s="25" t="s">
        <v>74</v>
      </c>
      <c r="BE115" s="25"/>
      <c r="BF115" s="24">
        <f>4500</f>
        <v>4500</v>
      </c>
      <c r="BG115" s="24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4500</f>
        <v>4500</v>
      </c>
      <c r="BR115" s="24"/>
      <c r="BS115" s="24"/>
      <c r="BT115" s="27" t="s">
        <v>74</v>
      </c>
    </row>
    <row r="116" spans="1:72" s="1" customFormat="1" ht="24" customHeight="1">
      <c r="A116" s="16" t="s">
        <v>263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229</v>
      </c>
      <c r="N116" s="23"/>
      <c r="O116" s="23"/>
      <c r="P116" s="31" t="s">
        <v>264</v>
      </c>
      <c r="Q116" s="31"/>
      <c r="R116" s="31"/>
      <c r="S116" s="31"/>
      <c r="T116" s="31"/>
      <c r="U116" s="24">
        <f>54000</f>
        <v>54000</v>
      </c>
      <c r="V116" s="24"/>
      <c r="W116" s="24"/>
      <c r="X116" s="25" t="s">
        <v>74</v>
      </c>
      <c r="Y116" s="25"/>
      <c r="Z116" s="25"/>
      <c r="AA116" s="25"/>
      <c r="AB116" s="24">
        <f>54000</f>
        <v>54000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54000</f>
        <v>54000</v>
      </c>
      <c r="AX116" s="24"/>
      <c r="AY116" s="25" t="s">
        <v>74</v>
      </c>
      <c r="AZ116" s="25"/>
      <c r="BA116" s="24">
        <f>4500</f>
        <v>4500</v>
      </c>
      <c r="BB116" s="24"/>
      <c r="BC116" s="24"/>
      <c r="BD116" s="25" t="s">
        <v>74</v>
      </c>
      <c r="BE116" s="25"/>
      <c r="BF116" s="24">
        <f>4500</f>
        <v>4500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4500</f>
        <v>4500</v>
      </c>
      <c r="BR116" s="24"/>
      <c r="BS116" s="24"/>
      <c r="BT116" s="27" t="s">
        <v>74</v>
      </c>
    </row>
    <row r="117" spans="1:72" s="1" customFormat="1" ht="13.5" customHeight="1">
      <c r="A117" s="16" t="s">
        <v>265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229</v>
      </c>
      <c r="N117" s="23"/>
      <c r="O117" s="23"/>
      <c r="P117" s="31" t="s">
        <v>266</v>
      </c>
      <c r="Q117" s="31"/>
      <c r="R117" s="31"/>
      <c r="S117" s="31"/>
      <c r="T117" s="31"/>
      <c r="U117" s="24">
        <f>1000</f>
        <v>1000</v>
      </c>
      <c r="V117" s="24"/>
      <c r="W117" s="24"/>
      <c r="X117" s="25" t="s">
        <v>74</v>
      </c>
      <c r="Y117" s="25"/>
      <c r="Z117" s="25"/>
      <c r="AA117" s="25"/>
      <c r="AB117" s="24">
        <f>1000</f>
        <v>1000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1000</f>
        <v>1000</v>
      </c>
      <c r="AX117" s="24"/>
      <c r="AY117" s="25" t="s">
        <v>74</v>
      </c>
      <c r="AZ117" s="25"/>
      <c r="BA117" s="25" t="s">
        <v>74</v>
      </c>
      <c r="BB117" s="25"/>
      <c r="BC117" s="25"/>
      <c r="BD117" s="25" t="s">
        <v>74</v>
      </c>
      <c r="BE117" s="25"/>
      <c r="BF117" s="25" t="s">
        <v>74</v>
      </c>
      <c r="BG117" s="25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5" t="s">
        <v>74</v>
      </c>
      <c r="BR117" s="25"/>
      <c r="BS117" s="25"/>
      <c r="BT117" s="27" t="s">
        <v>74</v>
      </c>
    </row>
    <row r="118" spans="1:72" s="1" customFormat="1" ht="13.5" customHeight="1">
      <c r="A118" s="16" t="s">
        <v>267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229</v>
      </c>
      <c r="N118" s="23"/>
      <c r="O118" s="23"/>
      <c r="P118" s="31" t="s">
        <v>268</v>
      </c>
      <c r="Q118" s="31"/>
      <c r="R118" s="31"/>
      <c r="S118" s="31"/>
      <c r="T118" s="31"/>
      <c r="U118" s="24">
        <f>200</f>
        <v>200</v>
      </c>
      <c r="V118" s="24"/>
      <c r="W118" s="24"/>
      <c r="X118" s="25" t="s">
        <v>74</v>
      </c>
      <c r="Y118" s="25"/>
      <c r="Z118" s="25"/>
      <c r="AA118" s="25"/>
      <c r="AB118" s="24">
        <f>200</f>
        <v>200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200</f>
        <v>200</v>
      </c>
      <c r="AX118" s="24"/>
      <c r="AY118" s="25" t="s">
        <v>74</v>
      </c>
      <c r="AZ118" s="25"/>
      <c r="BA118" s="25" t="s">
        <v>74</v>
      </c>
      <c r="BB118" s="25"/>
      <c r="BC118" s="25"/>
      <c r="BD118" s="25" t="s">
        <v>74</v>
      </c>
      <c r="BE118" s="25"/>
      <c r="BF118" s="25" t="s">
        <v>74</v>
      </c>
      <c r="BG118" s="25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5" t="s">
        <v>74</v>
      </c>
      <c r="BR118" s="25"/>
      <c r="BS118" s="25"/>
      <c r="BT118" s="27" t="s">
        <v>74</v>
      </c>
    </row>
    <row r="119" spans="1:72" s="1" customFormat="1" ht="33.75" customHeight="1">
      <c r="A119" s="16" t="s">
        <v>269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229</v>
      </c>
      <c r="N119" s="23"/>
      <c r="O119" s="23"/>
      <c r="P119" s="31" t="s">
        <v>270</v>
      </c>
      <c r="Q119" s="31"/>
      <c r="R119" s="31"/>
      <c r="S119" s="31"/>
      <c r="T119" s="31"/>
      <c r="U119" s="24">
        <f>0</f>
        <v>0</v>
      </c>
      <c r="V119" s="24"/>
      <c r="W119" s="24"/>
      <c r="X119" s="25" t="s">
        <v>74</v>
      </c>
      <c r="Y119" s="25"/>
      <c r="Z119" s="25"/>
      <c r="AA119" s="25"/>
      <c r="AB119" s="24">
        <f>0</f>
        <v>0</v>
      </c>
      <c r="AC119" s="24"/>
      <c r="AD119" s="24"/>
      <c r="AE119" s="28">
        <f>100728</f>
        <v>100728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100728</f>
        <v>100728</v>
      </c>
      <c r="AX119" s="24"/>
      <c r="AY119" s="25" t="s">
        <v>74</v>
      </c>
      <c r="AZ119" s="25"/>
      <c r="BA119" s="24">
        <f>0</f>
        <v>0</v>
      </c>
      <c r="BB119" s="24"/>
      <c r="BC119" s="24"/>
      <c r="BD119" s="25" t="s">
        <v>74</v>
      </c>
      <c r="BE119" s="25"/>
      <c r="BF119" s="24">
        <f>0</f>
        <v>0</v>
      </c>
      <c r="BG119" s="24"/>
      <c r="BH119" s="28">
        <f>48480</f>
        <v>48480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48480</f>
        <v>48480</v>
      </c>
      <c r="BR119" s="24"/>
      <c r="BS119" s="24"/>
      <c r="BT119" s="27" t="s">
        <v>74</v>
      </c>
    </row>
    <row r="120" spans="1:72" s="1" customFormat="1" ht="13.5" customHeight="1">
      <c r="A120" s="16" t="s">
        <v>256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229</v>
      </c>
      <c r="N120" s="23"/>
      <c r="O120" s="23"/>
      <c r="P120" s="31" t="s">
        <v>271</v>
      </c>
      <c r="Q120" s="31"/>
      <c r="R120" s="31"/>
      <c r="S120" s="31"/>
      <c r="T120" s="31"/>
      <c r="U120" s="24">
        <f>0</f>
        <v>0</v>
      </c>
      <c r="V120" s="24"/>
      <c r="W120" s="24"/>
      <c r="X120" s="25" t="s">
        <v>74</v>
      </c>
      <c r="Y120" s="25"/>
      <c r="Z120" s="25"/>
      <c r="AA120" s="25"/>
      <c r="AB120" s="24">
        <f>0</f>
        <v>0</v>
      </c>
      <c r="AC120" s="24"/>
      <c r="AD120" s="24"/>
      <c r="AE120" s="28">
        <f>100728</f>
        <v>100728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100728</f>
        <v>100728</v>
      </c>
      <c r="AX120" s="24"/>
      <c r="AY120" s="25" t="s">
        <v>74</v>
      </c>
      <c r="AZ120" s="25"/>
      <c r="BA120" s="24">
        <f>0</f>
        <v>0</v>
      </c>
      <c r="BB120" s="24"/>
      <c r="BC120" s="24"/>
      <c r="BD120" s="25" t="s">
        <v>74</v>
      </c>
      <c r="BE120" s="25"/>
      <c r="BF120" s="24">
        <f>0</f>
        <v>0</v>
      </c>
      <c r="BG120" s="24"/>
      <c r="BH120" s="28">
        <f>48480</f>
        <v>48480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48480</f>
        <v>48480</v>
      </c>
      <c r="BR120" s="24"/>
      <c r="BS120" s="24"/>
      <c r="BT120" s="27" t="s">
        <v>74</v>
      </c>
    </row>
    <row r="121" spans="1:72" s="1" customFormat="1" ht="13.5" customHeight="1">
      <c r="A121" s="16" t="s">
        <v>216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229</v>
      </c>
      <c r="N121" s="23"/>
      <c r="O121" s="23"/>
      <c r="P121" s="31" t="s">
        <v>272</v>
      </c>
      <c r="Q121" s="31"/>
      <c r="R121" s="31"/>
      <c r="S121" s="31"/>
      <c r="T121" s="31"/>
      <c r="U121" s="24">
        <f>0</f>
        <v>0</v>
      </c>
      <c r="V121" s="24"/>
      <c r="W121" s="24"/>
      <c r="X121" s="25" t="s">
        <v>74</v>
      </c>
      <c r="Y121" s="25"/>
      <c r="Z121" s="25"/>
      <c r="AA121" s="25"/>
      <c r="AB121" s="24">
        <f>0</f>
        <v>0</v>
      </c>
      <c r="AC121" s="24"/>
      <c r="AD121" s="24"/>
      <c r="AE121" s="28">
        <f>100728</f>
        <v>100728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100728</f>
        <v>100728</v>
      </c>
      <c r="AX121" s="24"/>
      <c r="AY121" s="25" t="s">
        <v>74</v>
      </c>
      <c r="AZ121" s="25"/>
      <c r="BA121" s="24">
        <f>0</f>
        <v>0</v>
      </c>
      <c r="BB121" s="24"/>
      <c r="BC121" s="24"/>
      <c r="BD121" s="25" t="s">
        <v>74</v>
      </c>
      <c r="BE121" s="25"/>
      <c r="BF121" s="24">
        <f>0</f>
        <v>0</v>
      </c>
      <c r="BG121" s="24"/>
      <c r="BH121" s="28">
        <f>48480</f>
        <v>48480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48480</f>
        <v>48480</v>
      </c>
      <c r="BR121" s="24"/>
      <c r="BS121" s="24"/>
      <c r="BT121" s="27" t="s">
        <v>74</v>
      </c>
    </row>
    <row r="122" spans="1:72" s="1" customFormat="1" ht="13.5" customHeight="1">
      <c r="A122" s="16" t="s">
        <v>273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229</v>
      </c>
      <c r="N122" s="23"/>
      <c r="O122" s="23"/>
      <c r="P122" s="31" t="s">
        <v>274</v>
      </c>
      <c r="Q122" s="31"/>
      <c r="R122" s="31"/>
      <c r="S122" s="31"/>
      <c r="T122" s="31"/>
      <c r="U122" s="24">
        <f>74716</f>
        <v>74716</v>
      </c>
      <c r="V122" s="24"/>
      <c r="W122" s="24"/>
      <c r="X122" s="25" t="s">
        <v>74</v>
      </c>
      <c r="Y122" s="25"/>
      <c r="Z122" s="25"/>
      <c r="AA122" s="25"/>
      <c r="AB122" s="24">
        <f>74716</f>
        <v>74716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74716</f>
        <v>74716</v>
      </c>
      <c r="AX122" s="24"/>
      <c r="AY122" s="25" t="s">
        <v>74</v>
      </c>
      <c r="AZ122" s="25"/>
      <c r="BA122" s="25" t="s">
        <v>74</v>
      </c>
      <c r="BB122" s="25"/>
      <c r="BC122" s="25"/>
      <c r="BD122" s="25" t="s">
        <v>74</v>
      </c>
      <c r="BE122" s="25"/>
      <c r="BF122" s="25" t="s">
        <v>74</v>
      </c>
      <c r="BG122" s="25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5" t="s">
        <v>74</v>
      </c>
      <c r="BR122" s="25"/>
      <c r="BS122" s="25"/>
      <c r="BT122" s="27" t="s">
        <v>74</v>
      </c>
    </row>
    <row r="123" spans="1:72" s="1" customFormat="1" ht="13.5" customHeight="1">
      <c r="A123" s="16" t="s">
        <v>259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229</v>
      </c>
      <c r="N123" s="23"/>
      <c r="O123" s="23"/>
      <c r="P123" s="31" t="s">
        <v>275</v>
      </c>
      <c r="Q123" s="31"/>
      <c r="R123" s="31"/>
      <c r="S123" s="31"/>
      <c r="T123" s="31"/>
      <c r="U123" s="24">
        <f>74716</f>
        <v>74716</v>
      </c>
      <c r="V123" s="24"/>
      <c r="W123" s="24"/>
      <c r="X123" s="25" t="s">
        <v>74</v>
      </c>
      <c r="Y123" s="25"/>
      <c r="Z123" s="25"/>
      <c r="AA123" s="25"/>
      <c r="AB123" s="24">
        <f>74716</f>
        <v>74716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74716</f>
        <v>74716</v>
      </c>
      <c r="AX123" s="24"/>
      <c r="AY123" s="25" t="s">
        <v>74</v>
      </c>
      <c r="AZ123" s="25"/>
      <c r="BA123" s="25" t="s">
        <v>74</v>
      </c>
      <c r="BB123" s="25"/>
      <c r="BC123" s="25"/>
      <c r="BD123" s="25" t="s">
        <v>74</v>
      </c>
      <c r="BE123" s="25"/>
      <c r="BF123" s="25" t="s">
        <v>74</v>
      </c>
      <c r="BG123" s="25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5" t="s">
        <v>74</v>
      </c>
      <c r="BR123" s="25"/>
      <c r="BS123" s="25"/>
      <c r="BT123" s="27" t="s">
        <v>74</v>
      </c>
    </row>
    <row r="124" spans="1:72" s="1" customFormat="1" ht="13.5" customHeight="1">
      <c r="A124" s="16" t="s">
        <v>276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229</v>
      </c>
      <c r="N124" s="23"/>
      <c r="O124" s="23"/>
      <c r="P124" s="31" t="s">
        <v>277</v>
      </c>
      <c r="Q124" s="31"/>
      <c r="R124" s="31"/>
      <c r="S124" s="31"/>
      <c r="T124" s="31"/>
      <c r="U124" s="24">
        <f>74716</f>
        <v>74716</v>
      </c>
      <c r="V124" s="24"/>
      <c r="W124" s="24"/>
      <c r="X124" s="25" t="s">
        <v>74</v>
      </c>
      <c r="Y124" s="25"/>
      <c r="Z124" s="25"/>
      <c r="AA124" s="25"/>
      <c r="AB124" s="24">
        <f>74716</f>
        <v>74716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74716</f>
        <v>74716</v>
      </c>
      <c r="AX124" s="24"/>
      <c r="AY124" s="25" t="s">
        <v>74</v>
      </c>
      <c r="AZ124" s="25"/>
      <c r="BA124" s="25" t="s">
        <v>74</v>
      </c>
      <c r="BB124" s="25"/>
      <c r="BC124" s="25"/>
      <c r="BD124" s="25" t="s">
        <v>74</v>
      </c>
      <c r="BE124" s="25"/>
      <c r="BF124" s="25" t="s">
        <v>74</v>
      </c>
      <c r="BG124" s="25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5" t="s">
        <v>74</v>
      </c>
      <c r="BR124" s="25"/>
      <c r="BS124" s="25"/>
      <c r="BT124" s="27" t="s">
        <v>74</v>
      </c>
    </row>
    <row r="125" spans="1:72" s="1" customFormat="1" ht="13.5" customHeight="1">
      <c r="A125" s="16" t="s">
        <v>278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229</v>
      </c>
      <c r="N125" s="23"/>
      <c r="O125" s="23"/>
      <c r="P125" s="31" t="s">
        <v>279</v>
      </c>
      <c r="Q125" s="31"/>
      <c r="R125" s="31"/>
      <c r="S125" s="31"/>
      <c r="T125" s="31"/>
      <c r="U125" s="24">
        <f>5987790</f>
        <v>5987790</v>
      </c>
      <c r="V125" s="24"/>
      <c r="W125" s="24"/>
      <c r="X125" s="25" t="s">
        <v>74</v>
      </c>
      <c r="Y125" s="25"/>
      <c r="Z125" s="25"/>
      <c r="AA125" s="25"/>
      <c r="AB125" s="24">
        <f>5987790</f>
        <v>5987790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5987790</f>
        <v>5987790</v>
      </c>
      <c r="AX125" s="24"/>
      <c r="AY125" s="25" t="s">
        <v>74</v>
      </c>
      <c r="AZ125" s="25"/>
      <c r="BA125" s="24">
        <f>2354872.78</f>
        <v>2354872.78</v>
      </c>
      <c r="BB125" s="24"/>
      <c r="BC125" s="24"/>
      <c r="BD125" s="25" t="s">
        <v>74</v>
      </c>
      <c r="BE125" s="25"/>
      <c r="BF125" s="24">
        <f>2354872.78</f>
        <v>2354872.78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2354872.78</f>
        <v>2354872.78</v>
      </c>
      <c r="BR125" s="24"/>
      <c r="BS125" s="24"/>
      <c r="BT125" s="27" t="s">
        <v>74</v>
      </c>
    </row>
    <row r="126" spans="1:72" s="1" customFormat="1" ht="54.75" customHeight="1">
      <c r="A126" s="16" t="s">
        <v>234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229</v>
      </c>
      <c r="N126" s="23"/>
      <c r="O126" s="23"/>
      <c r="P126" s="31" t="s">
        <v>280</v>
      </c>
      <c r="Q126" s="31"/>
      <c r="R126" s="31"/>
      <c r="S126" s="31"/>
      <c r="T126" s="31"/>
      <c r="U126" s="24">
        <f>3984960</f>
        <v>3984960</v>
      </c>
      <c r="V126" s="24"/>
      <c r="W126" s="24"/>
      <c r="X126" s="25" t="s">
        <v>74</v>
      </c>
      <c r="Y126" s="25"/>
      <c r="Z126" s="25"/>
      <c r="AA126" s="25"/>
      <c r="AB126" s="24">
        <f>3984960</f>
        <v>3984960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3984960</f>
        <v>3984960</v>
      </c>
      <c r="AX126" s="24"/>
      <c r="AY126" s="25" t="s">
        <v>74</v>
      </c>
      <c r="AZ126" s="25"/>
      <c r="BA126" s="24">
        <f>1539810.02</f>
        <v>1539810.02</v>
      </c>
      <c r="BB126" s="24"/>
      <c r="BC126" s="24"/>
      <c r="BD126" s="25" t="s">
        <v>74</v>
      </c>
      <c r="BE126" s="25"/>
      <c r="BF126" s="24">
        <f>1539810.02</f>
        <v>1539810.02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1539810.02</f>
        <v>1539810.02</v>
      </c>
      <c r="BR126" s="24"/>
      <c r="BS126" s="24"/>
      <c r="BT126" s="27" t="s">
        <v>74</v>
      </c>
    </row>
    <row r="127" spans="1:72" s="1" customFormat="1" ht="13.5" customHeight="1">
      <c r="A127" s="16" t="s">
        <v>281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229</v>
      </c>
      <c r="N127" s="23"/>
      <c r="O127" s="23"/>
      <c r="P127" s="31" t="s">
        <v>282</v>
      </c>
      <c r="Q127" s="31"/>
      <c r="R127" s="31"/>
      <c r="S127" s="31"/>
      <c r="T127" s="31"/>
      <c r="U127" s="24">
        <f>3984960</f>
        <v>3984960</v>
      </c>
      <c r="V127" s="24"/>
      <c r="W127" s="24"/>
      <c r="X127" s="25" t="s">
        <v>74</v>
      </c>
      <c r="Y127" s="25"/>
      <c r="Z127" s="25"/>
      <c r="AA127" s="25"/>
      <c r="AB127" s="24">
        <f>3984960</f>
        <v>3984960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3984960</f>
        <v>3984960</v>
      </c>
      <c r="AX127" s="24"/>
      <c r="AY127" s="25" t="s">
        <v>74</v>
      </c>
      <c r="AZ127" s="25"/>
      <c r="BA127" s="24">
        <f>1539810.02</f>
        <v>1539810.02</v>
      </c>
      <c r="BB127" s="24"/>
      <c r="BC127" s="24"/>
      <c r="BD127" s="25" t="s">
        <v>74</v>
      </c>
      <c r="BE127" s="25"/>
      <c r="BF127" s="24">
        <f>1539810.02</f>
        <v>1539810.02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1539810.02</f>
        <v>1539810.02</v>
      </c>
      <c r="BR127" s="24"/>
      <c r="BS127" s="24"/>
      <c r="BT127" s="27" t="s">
        <v>74</v>
      </c>
    </row>
    <row r="128" spans="1:72" s="1" customFormat="1" ht="13.5" customHeight="1">
      <c r="A128" s="16" t="s">
        <v>283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229</v>
      </c>
      <c r="N128" s="23"/>
      <c r="O128" s="23"/>
      <c r="P128" s="31" t="s">
        <v>284</v>
      </c>
      <c r="Q128" s="31"/>
      <c r="R128" s="31"/>
      <c r="S128" s="31"/>
      <c r="T128" s="31"/>
      <c r="U128" s="24">
        <f>3060645</f>
        <v>3060645</v>
      </c>
      <c r="V128" s="24"/>
      <c r="W128" s="24"/>
      <c r="X128" s="25" t="s">
        <v>74</v>
      </c>
      <c r="Y128" s="25"/>
      <c r="Z128" s="25"/>
      <c r="AA128" s="25"/>
      <c r="AB128" s="24">
        <f>3060645</f>
        <v>3060645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3060645</f>
        <v>3060645</v>
      </c>
      <c r="AX128" s="24"/>
      <c r="AY128" s="25" t="s">
        <v>74</v>
      </c>
      <c r="AZ128" s="25"/>
      <c r="BA128" s="24">
        <f>1205629.02</f>
        <v>1205629.02</v>
      </c>
      <c r="BB128" s="24"/>
      <c r="BC128" s="24"/>
      <c r="BD128" s="25" t="s">
        <v>74</v>
      </c>
      <c r="BE128" s="25"/>
      <c r="BF128" s="24">
        <f>1205629.02</f>
        <v>1205629.02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1205629.02</f>
        <v>1205629.02</v>
      </c>
      <c r="BR128" s="24"/>
      <c r="BS128" s="24"/>
      <c r="BT128" s="27" t="s">
        <v>74</v>
      </c>
    </row>
    <row r="129" spans="1:72" s="1" customFormat="1" ht="33.75" customHeight="1">
      <c r="A129" s="16" t="s">
        <v>285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229</v>
      </c>
      <c r="N129" s="23"/>
      <c r="O129" s="23"/>
      <c r="P129" s="31" t="s">
        <v>286</v>
      </c>
      <c r="Q129" s="31"/>
      <c r="R129" s="31"/>
      <c r="S129" s="31"/>
      <c r="T129" s="31"/>
      <c r="U129" s="24">
        <f>924315</f>
        <v>924315</v>
      </c>
      <c r="V129" s="24"/>
      <c r="W129" s="24"/>
      <c r="X129" s="25" t="s">
        <v>74</v>
      </c>
      <c r="Y129" s="25"/>
      <c r="Z129" s="25"/>
      <c r="AA129" s="25"/>
      <c r="AB129" s="24">
        <f>924315</f>
        <v>924315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924315</f>
        <v>924315</v>
      </c>
      <c r="AX129" s="24"/>
      <c r="AY129" s="25" t="s">
        <v>74</v>
      </c>
      <c r="AZ129" s="25"/>
      <c r="BA129" s="24">
        <f>334181</f>
        <v>334181</v>
      </c>
      <c r="BB129" s="24"/>
      <c r="BC129" s="24"/>
      <c r="BD129" s="25" t="s">
        <v>74</v>
      </c>
      <c r="BE129" s="25"/>
      <c r="BF129" s="24">
        <f>334181</f>
        <v>334181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334181</f>
        <v>334181</v>
      </c>
      <c r="BR129" s="24"/>
      <c r="BS129" s="24"/>
      <c r="BT129" s="27" t="s">
        <v>74</v>
      </c>
    </row>
    <row r="130" spans="1:72" s="1" customFormat="1" ht="24" customHeight="1">
      <c r="A130" s="16" t="s">
        <v>248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229</v>
      </c>
      <c r="N130" s="23"/>
      <c r="O130" s="23"/>
      <c r="P130" s="31" t="s">
        <v>287</v>
      </c>
      <c r="Q130" s="31"/>
      <c r="R130" s="31"/>
      <c r="S130" s="31"/>
      <c r="T130" s="31"/>
      <c r="U130" s="24">
        <f>1942802</f>
        <v>1942802</v>
      </c>
      <c r="V130" s="24"/>
      <c r="W130" s="24"/>
      <c r="X130" s="25" t="s">
        <v>74</v>
      </c>
      <c r="Y130" s="25"/>
      <c r="Z130" s="25"/>
      <c r="AA130" s="25"/>
      <c r="AB130" s="24">
        <f>1942802</f>
        <v>1942802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1942802</f>
        <v>1942802</v>
      </c>
      <c r="AX130" s="24"/>
      <c r="AY130" s="25" t="s">
        <v>74</v>
      </c>
      <c r="AZ130" s="25"/>
      <c r="BA130" s="24">
        <f>769808.76</f>
        <v>769808.76</v>
      </c>
      <c r="BB130" s="24"/>
      <c r="BC130" s="24"/>
      <c r="BD130" s="25" t="s">
        <v>74</v>
      </c>
      <c r="BE130" s="25"/>
      <c r="BF130" s="24">
        <f>769808.76</f>
        <v>769808.76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769808.76</f>
        <v>769808.76</v>
      </c>
      <c r="BR130" s="24"/>
      <c r="BS130" s="24"/>
      <c r="BT130" s="27" t="s">
        <v>74</v>
      </c>
    </row>
    <row r="131" spans="1:72" s="1" customFormat="1" ht="24" customHeight="1">
      <c r="A131" s="16" t="s">
        <v>250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229</v>
      </c>
      <c r="N131" s="23"/>
      <c r="O131" s="23"/>
      <c r="P131" s="31" t="s">
        <v>288</v>
      </c>
      <c r="Q131" s="31"/>
      <c r="R131" s="31"/>
      <c r="S131" s="31"/>
      <c r="T131" s="31"/>
      <c r="U131" s="24">
        <f>1942802</f>
        <v>1942802</v>
      </c>
      <c r="V131" s="24"/>
      <c r="W131" s="24"/>
      <c r="X131" s="25" t="s">
        <v>74</v>
      </c>
      <c r="Y131" s="25"/>
      <c r="Z131" s="25"/>
      <c r="AA131" s="25"/>
      <c r="AB131" s="24">
        <f>1942802</f>
        <v>1942802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1942802</f>
        <v>1942802</v>
      </c>
      <c r="AX131" s="24"/>
      <c r="AY131" s="25" t="s">
        <v>74</v>
      </c>
      <c r="AZ131" s="25"/>
      <c r="BA131" s="24">
        <f>769808.76</f>
        <v>769808.76</v>
      </c>
      <c r="BB131" s="24"/>
      <c r="BC131" s="24"/>
      <c r="BD131" s="25" t="s">
        <v>74</v>
      </c>
      <c r="BE131" s="25"/>
      <c r="BF131" s="24">
        <f>769808.76</f>
        <v>769808.76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769808.76</f>
        <v>769808.76</v>
      </c>
      <c r="BR131" s="24"/>
      <c r="BS131" s="24"/>
      <c r="BT131" s="27" t="s">
        <v>74</v>
      </c>
    </row>
    <row r="132" spans="1:72" s="1" customFormat="1" ht="13.5" customHeight="1">
      <c r="A132" s="16" t="s">
        <v>252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229</v>
      </c>
      <c r="N132" s="23"/>
      <c r="O132" s="23"/>
      <c r="P132" s="31" t="s">
        <v>289</v>
      </c>
      <c r="Q132" s="31"/>
      <c r="R132" s="31"/>
      <c r="S132" s="31"/>
      <c r="T132" s="31"/>
      <c r="U132" s="24">
        <f>1827802</f>
        <v>1827802</v>
      </c>
      <c r="V132" s="24"/>
      <c r="W132" s="24"/>
      <c r="X132" s="25" t="s">
        <v>74</v>
      </c>
      <c r="Y132" s="25"/>
      <c r="Z132" s="25"/>
      <c r="AA132" s="25"/>
      <c r="AB132" s="24">
        <f>1827802</f>
        <v>1827802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1827802</f>
        <v>1827802</v>
      </c>
      <c r="AX132" s="24"/>
      <c r="AY132" s="25" t="s">
        <v>74</v>
      </c>
      <c r="AZ132" s="25"/>
      <c r="BA132" s="24">
        <f>701017.35</f>
        <v>701017.35</v>
      </c>
      <c r="BB132" s="24"/>
      <c r="BC132" s="24"/>
      <c r="BD132" s="25" t="s">
        <v>74</v>
      </c>
      <c r="BE132" s="25"/>
      <c r="BF132" s="24">
        <f>701017.35</f>
        <v>701017.35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701017.35</f>
        <v>701017.35</v>
      </c>
      <c r="BR132" s="24"/>
      <c r="BS132" s="24"/>
      <c r="BT132" s="27" t="s">
        <v>74</v>
      </c>
    </row>
    <row r="133" spans="1:72" s="1" customFormat="1" ht="13.5" customHeight="1">
      <c r="A133" s="16" t="s">
        <v>254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229</v>
      </c>
      <c r="N133" s="23"/>
      <c r="O133" s="23"/>
      <c r="P133" s="31" t="s">
        <v>290</v>
      </c>
      <c r="Q133" s="31"/>
      <c r="R133" s="31"/>
      <c r="S133" s="31"/>
      <c r="T133" s="31"/>
      <c r="U133" s="24">
        <f>115000</f>
        <v>115000</v>
      </c>
      <c r="V133" s="24"/>
      <c r="W133" s="24"/>
      <c r="X133" s="25" t="s">
        <v>74</v>
      </c>
      <c r="Y133" s="25"/>
      <c r="Z133" s="25"/>
      <c r="AA133" s="25"/>
      <c r="AB133" s="24">
        <f>115000</f>
        <v>115000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115000</f>
        <v>115000</v>
      </c>
      <c r="AX133" s="24"/>
      <c r="AY133" s="25" t="s">
        <v>74</v>
      </c>
      <c r="AZ133" s="25"/>
      <c r="BA133" s="24">
        <f>68791.41</f>
        <v>68791.41</v>
      </c>
      <c r="BB133" s="24"/>
      <c r="BC133" s="24"/>
      <c r="BD133" s="25" t="s">
        <v>74</v>
      </c>
      <c r="BE133" s="25"/>
      <c r="BF133" s="24">
        <f>68791.41</f>
        <v>68791.41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68791.41</f>
        <v>68791.41</v>
      </c>
      <c r="BR133" s="24"/>
      <c r="BS133" s="24"/>
      <c r="BT133" s="27" t="s">
        <v>74</v>
      </c>
    </row>
    <row r="134" spans="1:72" s="1" customFormat="1" ht="13.5" customHeight="1">
      <c r="A134" s="16" t="s">
        <v>291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229</v>
      </c>
      <c r="N134" s="23"/>
      <c r="O134" s="23"/>
      <c r="P134" s="31" t="s">
        <v>292</v>
      </c>
      <c r="Q134" s="31"/>
      <c r="R134" s="31"/>
      <c r="S134" s="31"/>
      <c r="T134" s="31"/>
      <c r="U134" s="24">
        <f>5000</f>
        <v>5000</v>
      </c>
      <c r="V134" s="24"/>
      <c r="W134" s="24"/>
      <c r="X134" s="25" t="s">
        <v>74</v>
      </c>
      <c r="Y134" s="25"/>
      <c r="Z134" s="25"/>
      <c r="AA134" s="25"/>
      <c r="AB134" s="24">
        <f>5000</f>
        <v>5000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5000</f>
        <v>5000</v>
      </c>
      <c r="AX134" s="24"/>
      <c r="AY134" s="25" t="s">
        <v>74</v>
      </c>
      <c r="AZ134" s="25"/>
      <c r="BA134" s="24">
        <f>5000</f>
        <v>5000</v>
      </c>
      <c r="BB134" s="24"/>
      <c r="BC134" s="24"/>
      <c r="BD134" s="25" t="s">
        <v>74</v>
      </c>
      <c r="BE134" s="25"/>
      <c r="BF134" s="24">
        <f>5000</f>
        <v>5000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5000</f>
        <v>5000</v>
      </c>
      <c r="BR134" s="24"/>
      <c r="BS134" s="24"/>
      <c r="BT134" s="27" t="s">
        <v>74</v>
      </c>
    </row>
    <row r="135" spans="1:72" s="1" customFormat="1" ht="24" customHeight="1">
      <c r="A135" s="16" t="s">
        <v>293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229</v>
      </c>
      <c r="N135" s="23"/>
      <c r="O135" s="23"/>
      <c r="P135" s="31" t="s">
        <v>294</v>
      </c>
      <c r="Q135" s="31"/>
      <c r="R135" s="31"/>
      <c r="S135" s="31"/>
      <c r="T135" s="31"/>
      <c r="U135" s="24">
        <f>5000</f>
        <v>5000</v>
      </c>
      <c r="V135" s="24"/>
      <c r="W135" s="24"/>
      <c r="X135" s="25" t="s">
        <v>74</v>
      </c>
      <c r="Y135" s="25"/>
      <c r="Z135" s="25"/>
      <c r="AA135" s="25"/>
      <c r="AB135" s="24">
        <f>5000</f>
        <v>5000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5000</f>
        <v>5000</v>
      </c>
      <c r="AX135" s="24"/>
      <c r="AY135" s="25" t="s">
        <v>74</v>
      </c>
      <c r="AZ135" s="25"/>
      <c r="BA135" s="24">
        <f>5000</f>
        <v>5000</v>
      </c>
      <c r="BB135" s="24"/>
      <c r="BC135" s="24"/>
      <c r="BD135" s="25" t="s">
        <v>74</v>
      </c>
      <c r="BE135" s="25"/>
      <c r="BF135" s="24">
        <f>5000</f>
        <v>5000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5000</f>
        <v>5000</v>
      </c>
      <c r="BR135" s="24"/>
      <c r="BS135" s="24"/>
      <c r="BT135" s="27" t="s">
        <v>74</v>
      </c>
    </row>
    <row r="136" spans="1:72" s="1" customFormat="1" ht="33.75" customHeight="1">
      <c r="A136" s="16" t="s">
        <v>295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229</v>
      </c>
      <c r="N136" s="23"/>
      <c r="O136" s="23"/>
      <c r="P136" s="31" t="s">
        <v>296</v>
      </c>
      <c r="Q136" s="31"/>
      <c r="R136" s="31"/>
      <c r="S136" s="31"/>
      <c r="T136" s="31"/>
      <c r="U136" s="24">
        <f>5000</f>
        <v>5000</v>
      </c>
      <c r="V136" s="24"/>
      <c r="W136" s="24"/>
      <c r="X136" s="25" t="s">
        <v>74</v>
      </c>
      <c r="Y136" s="25"/>
      <c r="Z136" s="25"/>
      <c r="AA136" s="25"/>
      <c r="AB136" s="24">
        <f>5000</f>
        <v>5000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5000</f>
        <v>5000</v>
      </c>
      <c r="AX136" s="24"/>
      <c r="AY136" s="25" t="s">
        <v>74</v>
      </c>
      <c r="AZ136" s="25"/>
      <c r="BA136" s="24">
        <f>5000</f>
        <v>5000</v>
      </c>
      <c r="BB136" s="24"/>
      <c r="BC136" s="24"/>
      <c r="BD136" s="25" t="s">
        <v>74</v>
      </c>
      <c r="BE136" s="25"/>
      <c r="BF136" s="24">
        <f>5000</f>
        <v>5000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5000</f>
        <v>5000</v>
      </c>
      <c r="BR136" s="24"/>
      <c r="BS136" s="24"/>
      <c r="BT136" s="27" t="s">
        <v>74</v>
      </c>
    </row>
    <row r="137" spans="1:72" s="1" customFormat="1" ht="13.5" customHeight="1">
      <c r="A137" s="16" t="s">
        <v>259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229</v>
      </c>
      <c r="N137" s="23"/>
      <c r="O137" s="23"/>
      <c r="P137" s="31" t="s">
        <v>297</v>
      </c>
      <c r="Q137" s="31"/>
      <c r="R137" s="31"/>
      <c r="S137" s="31"/>
      <c r="T137" s="31"/>
      <c r="U137" s="24">
        <f>55028</f>
        <v>55028</v>
      </c>
      <c r="V137" s="24"/>
      <c r="W137" s="24"/>
      <c r="X137" s="25" t="s">
        <v>74</v>
      </c>
      <c r="Y137" s="25"/>
      <c r="Z137" s="25"/>
      <c r="AA137" s="25"/>
      <c r="AB137" s="24">
        <f>55028</f>
        <v>55028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55028</f>
        <v>55028</v>
      </c>
      <c r="AX137" s="24"/>
      <c r="AY137" s="25" t="s">
        <v>74</v>
      </c>
      <c r="AZ137" s="25"/>
      <c r="BA137" s="24">
        <f>40254</f>
        <v>40254</v>
      </c>
      <c r="BB137" s="24"/>
      <c r="BC137" s="24"/>
      <c r="BD137" s="25" t="s">
        <v>74</v>
      </c>
      <c r="BE137" s="25"/>
      <c r="BF137" s="24">
        <f>40254</f>
        <v>40254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40254</f>
        <v>40254</v>
      </c>
      <c r="BR137" s="24"/>
      <c r="BS137" s="24"/>
      <c r="BT137" s="27" t="s">
        <v>74</v>
      </c>
    </row>
    <row r="138" spans="1:72" s="1" customFormat="1" ht="13.5" customHeight="1">
      <c r="A138" s="16" t="s">
        <v>261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229</v>
      </c>
      <c r="N138" s="23"/>
      <c r="O138" s="23"/>
      <c r="P138" s="31" t="s">
        <v>298</v>
      </c>
      <c r="Q138" s="31"/>
      <c r="R138" s="31"/>
      <c r="S138" s="31"/>
      <c r="T138" s="31"/>
      <c r="U138" s="24">
        <f>55028</f>
        <v>55028</v>
      </c>
      <c r="V138" s="24"/>
      <c r="W138" s="24"/>
      <c r="X138" s="25" t="s">
        <v>74</v>
      </c>
      <c r="Y138" s="25"/>
      <c r="Z138" s="25"/>
      <c r="AA138" s="25"/>
      <c r="AB138" s="24">
        <f>55028</f>
        <v>55028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55028</f>
        <v>55028</v>
      </c>
      <c r="AX138" s="24"/>
      <c r="AY138" s="25" t="s">
        <v>74</v>
      </c>
      <c r="AZ138" s="25"/>
      <c r="BA138" s="24">
        <f>40254</f>
        <v>40254</v>
      </c>
      <c r="BB138" s="24"/>
      <c r="BC138" s="24"/>
      <c r="BD138" s="25" t="s">
        <v>74</v>
      </c>
      <c r="BE138" s="25"/>
      <c r="BF138" s="24">
        <f>40254</f>
        <v>40254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40254</f>
        <v>40254</v>
      </c>
      <c r="BR138" s="24"/>
      <c r="BS138" s="24"/>
      <c r="BT138" s="27" t="s">
        <v>74</v>
      </c>
    </row>
    <row r="139" spans="1:72" s="1" customFormat="1" ht="13.5" customHeight="1">
      <c r="A139" s="16" t="s">
        <v>265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229</v>
      </c>
      <c r="N139" s="23"/>
      <c r="O139" s="23"/>
      <c r="P139" s="31" t="s">
        <v>299</v>
      </c>
      <c r="Q139" s="31"/>
      <c r="R139" s="31"/>
      <c r="S139" s="31"/>
      <c r="T139" s="31"/>
      <c r="U139" s="24">
        <f>13900</f>
        <v>13900</v>
      </c>
      <c r="V139" s="24"/>
      <c r="W139" s="24"/>
      <c r="X139" s="25" t="s">
        <v>74</v>
      </c>
      <c r="Y139" s="25"/>
      <c r="Z139" s="25"/>
      <c r="AA139" s="25"/>
      <c r="AB139" s="24">
        <f>13900</f>
        <v>13900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13900</f>
        <v>13900</v>
      </c>
      <c r="AX139" s="24"/>
      <c r="AY139" s="25" t="s">
        <v>74</v>
      </c>
      <c r="AZ139" s="25"/>
      <c r="BA139" s="25" t="s">
        <v>74</v>
      </c>
      <c r="BB139" s="25"/>
      <c r="BC139" s="25"/>
      <c r="BD139" s="25" t="s">
        <v>74</v>
      </c>
      <c r="BE139" s="25"/>
      <c r="BF139" s="25" t="s">
        <v>74</v>
      </c>
      <c r="BG139" s="25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5" t="s">
        <v>74</v>
      </c>
      <c r="BR139" s="25"/>
      <c r="BS139" s="25"/>
      <c r="BT139" s="27" t="s">
        <v>74</v>
      </c>
    </row>
    <row r="140" spans="1:72" s="1" customFormat="1" ht="13.5" customHeight="1">
      <c r="A140" s="16" t="s">
        <v>267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229</v>
      </c>
      <c r="N140" s="23"/>
      <c r="O140" s="23"/>
      <c r="P140" s="31" t="s">
        <v>300</v>
      </c>
      <c r="Q140" s="31"/>
      <c r="R140" s="31"/>
      <c r="S140" s="31"/>
      <c r="T140" s="31"/>
      <c r="U140" s="24">
        <f>41128</f>
        <v>41128</v>
      </c>
      <c r="V140" s="24"/>
      <c r="W140" s="24"/>
      <c r="X140" s="25" t="s">
        <v>74</v>
      </c>
      <c r="Y140" s="25"/>
      <c r="Z140" s="25"/>
      <c r="AA140" s="25"/>
      <c r="AB140" s="24">
        <f>41128</f>
        <v>41128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41128</f>
        <v>41128</v>
      </c>
      <c r="AX140" s="24"/>
      <c r="AY140" s="25" t="s">
        <v>74</v>
      </c>
      <c r="AZ140" s="25"/>
      <c r="BA140" s="24">
        <f>40254</f>
        <v>40254</v>
      </c>
      <c r="BB140" s="24"/>
      <c r="BC140" s="24"/>
      <c r="BD140" s="25" t="s">
        <v>74</v>
      </c>
      <c r="BE140" s="25"/>
      <c r="BF140" s="24">
        <f>40254</f>
        <v>40254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40254</f>
        <v>40254</v>
      </c>
      <c r="BR140" s="24"/>
      <c r="BS140" s="24"/>
      <c r="BT140" s="27" t="s">
        <v>74</v>
      </c>
    </row>
    <row r="141" spans="1:72" s="1" customFormat="1" ht="13.5" customHeight="1">
      <c r="A141" s="16" t="s">
        <v>301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229</v>
      </c>
      <c r="N141" s="23"/>
      <c r="O141" s="23"/>
      <c r="P141" s="31" t="s">
        <v>302</v>
      </c>
      <c r="Q141" s="31"/>
      <c r="R141" s="31"/>
      <c r="S141" s="31"/>
      <c r="T141" s="31"/>
      <c r="U141" s="24">
        <f>243919</f>
        <v>243919</v>
      </c>
      <c r="V141" s="24"/>
      <c r="W141" s="24"/>
      <c r="X141" s="25" t="s">
        <v>74</v>
      </c>
      <c r="Y141" s="25"/>
      <c r="Z141" s="25"/>
      <c r="AA141" s="25"/>
      <c r="AB141" s="24">
        <f>243919</f>
        <v>243919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243919</f>
        <v>243919</v>
      </c>
      <c r="AX141" s="24"/>
      <c r="AY141" s="25" t="s">
        <v>74</v>
      </c>
      <c r="AZ141" s="25"/>
      <c r="BA141" s="24">
        <f>121960</f>
        <v>121960</v>
      </c>
      <c r="BB141" s="24"/>
      <c r="BC141" s="24"/>
      <c r="BD141" s="25" t="s">
        <v>74</v>
      </c>
      <c r="BE141" s="25"/>
      <c r="BF141" s="24">
        <f>121960</f>
        <v>121960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121960</f>
        <v>121960</v>
      </c>
      <c r="BR141" s="24"/>
      <c r="BS141" s="24"/>
      <c r="BT141" s="27" t="s">
        <v>74</v>
      </c>
    </row>
    <row r="142" spans="1:72" s="1" customFormat="1" ht="13.5" customHeight="1">
      <c r="A142" s="16" t="s">
        <v>303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229</v>
      </c>
      <c r="N142" s="23"/>
      <c r="O142" s="23"/>
      <c r="P142" s="31" t="s">
        <v>304</v>
      </c>
      <c r="Q142" s="31"/>
      <c r="R142" s="31"/>
      <c r="S142" s="31"/>
      <c r="T142" s="31"/>
      <c r="U142" s="24">
        <f>243919</f>
        <v>243919</v>
      </c>
      <c r="V142" s="24"/>
      <c r="W142" s="24"/>
      <c r="X142" s="25" t="s">
        <v>74</v>
      </c>
      <c r="Y142" s="25"/>
      <c r="Z142" s="25"/>
      <c r="AA142" s="25"/>
      <c r="AB142" s="24">
        <f>243919</f>
        <v>243919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243919</f>
        <v>243919</v>
      </c>
      <c r="AX142" s="24"/>
      <c r="AY142" s="25" t="s">
        <v>74</v>
      </c>
      <c r="AZ142" s="25"/>
      <c r="BA142" s="24">
        <f>121960</f>
        <v>121960</v>
      </c>
      <c r="BB142" s="24"/>
      <c r="BC142" s="24"/>
      <c r="BD142" s="25" t="s">
        <v>74</v>
      </c>
      <c r="BE142" s="25"/>
      <c r="BF142" s="24">
        <f>121960</f>
        <v>121960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121960</f>
        <v>121960</v>
      </c>
      <c r="BR142" s="24"/>
      <c r="BS142" s="24"/>
      <c r="BT142" s="27" t="s">
        <v>74</v>
      </c>
    </row>
    <row r="143" spans="1:72" s="1" customFormat="1" ht="54.75" customHeight="1">
      <c r="A143" s="16" t="s">
        <v>234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229</v>
      </c>
      <c r="N143" s="23"/>
      <c r="O143" s="23"/>
      <c r="P143" s="31" t="s">
        <v>305</v>
      </c>
      <c r="Q143" s="31"/>
      <c r="R143" s="31"/>
      <c r="S143" s="31"/>
      <c r="T143" s="31"/>
      <c r="U143" s="24">
        <f>243919</f>
        <v>243919</v>
      </c>
      <c r="V143" s="24"/>
      <c r="W143" s="24"/>
      <c r="X143" s="25" t="s">
        <v>74</v>
      </c>
      <c r="Y143" s="25"/>
      <c r="Z143" s="25"/>
      <c r="AA143" s="25"/>
      <c r="AB143" s="24">
        <f>243919</f>
        <v>243919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243919</f>
        <v>243919</v>
      </c>
      <c r="AX143" s="24"/>
      <c r="AY143" s="25" t="s">
        <v>74</v>
      </c>
      <c r="AZ143" s="25"/>
      <c r="BA143" s="24">
        <f>121960</f>
        <v>121960</v>
      </c>
      <c r="BB143" s="24"/>
      <c r="BC143" s="24"/>
      <c r="BD143" s="25" t="s">
        <v>74</v>
      </c>
      <c r="BE143" s="25"/>
      <c r="BF143" s="24">
        <f>121960</f>
        <v>121960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121960</f>
        <v>121960</v>
      </c>
      <c r="BR143" s="24"/>
      <c r="BS143" s="24"/>
      <c r="BT143" s="27" t="s">
        <v>74</v>
      </c>
    </row>
    <row r="144" spans="1:72" s="1" customFormat="1" ht="24" customHeight="1">
      <c r="A144" s="16" t="s">
        <v>236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229</v>
      </c>
      <c r="N144" s="23"/>
      <c r="O144" s="23"/>
      <c r="P144" s="31" t="s">
        <v>306</v>
      </c>
      <c r="Q144" s="31"/>
      <c r="R144" s="31"/>
      <c r="S144" s="31"/>
      <c r="T144" s="31"/>
      <c r="U144" s="24">
        <f>243919</f>
        <v>243919</v>
      </c>
      <c r="V144" s="24"/>
      <c r="W144" s="24"/>
      <c r="X144" s="25" t="s">
        <v>74</v>
      </c>
      <c r="Y144" s="25"/>
      <c r="Z144" s="25"/>
      <c r="AA144" s="25"/>
      <c r="AB144" s="24">
        <f>243919</f>
        <v>243919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243919</f>
        <v>243919</v>
      </c>
      <c r="AX144" s="24"/>
      <c r="AY144" s="25" t="s">
        <v>74</v>
      </c>
      <c r="AZ144" s="25"/>
      <c r="BA144" s="24">
        <f>121960</f>
        <v>121960</v>
      </c>
      <c r="BB144" s="24"/>
      <c r="BC144" s="24"/>
      <c r="BD144" s="25" t="s">
        <v>74</v>
      </c>
      <c r="BE144" s="25"/>
      <c r="BF144" s="24">
        <f>121960</f>
        <v>121960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121960</f>
        <v>121960</v>
      </c>
      <c r="BR144" s="24"/>
      <c r="BS144" s="24"/>
      <c r="BT144" s="27" t="s">
        <v>74</v>
      </c>
    </row>
    <row r="145" spans="1:72" s="1" customFormat="1" ht="24" customHeight="1">
      <c r="A145" s="16" t="s">
        <v>238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229</v>
      </c>
      <c r="N145" s="23"/>
      <c r="O145" s="23"/>
      <c r="P145" s="31" t="s">
        <v>307</v>
      </c>
      <c r="Q145" s="31"/>
      <c r="R145" s="31"/>
      <c r="S145" s="31"/>
      <c r="T145" s="31"/>
      <c r="U145" s="24">
        <f>187341</f>
        <v>187341</v>
      </c>
      <c r="V145" s="24"/>
      <c r="W145" s="24"/>
      <c r="X145" s="25" t="s">
        <v>74</v>
      </c>
      <c r="Y145" s="25"/>
      <c r="Z145" s="25"/>
      <c r="AA145" s="25"/>
      <c r="AB145" s="24">
        <f>187341</f>
        <v>187341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187341</f>
        <v>187341</v>
      </c>
      <c r="AX145" s="24"/>
      <c r="AY145" s="25" t="s">
        <v>74</v>
      </c>
      <c r="AZ145" s="25"/>
      <c r="BA145" s="24">
        <f>93672</f>
        <v>93672</v>
      </c>
      <c r="BB145" s="24"/>
      <c r="BC145" s="24"/>
      <c r="BD145" s="25" t="s">
        <v>74</v>
      </c>
      <c r="BE145" s="25"/>
      <c r="BF145" s="24">
        <f>93672</f>
        <v>93672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93672</f>
        <v>93672</v>
      </c>
      <c r="BR145" s="24"/>
      <c r="BS145" s="24"/>
      <c r="BT145" s="27" t="s">
        <v>74</v>
      </c>
    </row>
    <row r="146" spans="1:72" s="1" customFormat="1" ht="33.75" customHeight="1">
      <c r="A146" s="16" t="s">
        <v>240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229</v>
      </c>
      <c r="N146" s="23"/>
      <c r="O146" s="23"/>
      <c r="P146" s="31" t="s">
        <v>308</v>
      </c>
      <c r="Q146" s="31"/>
      <c r="R146" s="31"/>
      <c r="S146" s="31"/>
      <c r="T146" s="31"/>
      <c r="U146" s="24">
        <f>56578</f>
        <v>56578</v>
      </c>
      <c r="V146" s="24"/>
      <c r="W146" s="24"/>
      <c r="X146" s="25" t="s">
        <v>74</v>
      </c>
      <c r="Y146" s="25"/>
      <c r="Z146" s="25"/>
      <c r="AA146" s="25"/>
      <c r="AB146" s="24">
        <f>56578</f>
        <v>56578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56578</f>
        <v>56578</v>
      </c>
      <c r="AX146" s="24"/>
      <c r="AY146" s="25" t="s">
        <v>74</v>
      </c>
      <c r="AZ146" s="25"/>
      <c r="BA146" s="24">
        <f>28288</f>
        <v>28288</v>
      </c>
      <c r="BB146" s="24"/>
      <c r="BC146" s="24"/>
      <c r="BD146" s="25" t="s">
        <v>74</v>
      </c>
      <c r="BE146" s="25"/>
      <c r="BF146" s="24">
        <f>28288</f>
        <v>28288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28288</f>
        <v>28288</v>
      </c>
      <c r="BR146" s="24"/>
      <c r="BS146" s="24"/>
      <c r="BT146" s="27" t="s">
        <v>74</v>
      </c>
    </row>
    <row r="147" spans="1:72" s="1" customFormat="1" ht="24" customHeight="1">
      <c r="A147" s="16" t="s">
        <v>309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229</v>
      </c>
      <c r="N147" s="23"/>
      <c r="O147" s="23"/>
      <c r="P147" s="31" t="s">
        <v>310</v>
      </c>
      <c r="Q147" s="31"/>
      <c r="R147" s="31"/>
      <c r="S147" s="31"/>
      <c r="T147" s="31"/>
      <c r="U147" s="24">
        <f>200000</f>
        <v>200000</v>
      </c>
      <c r="V147" s="24"/>
      <c r="W147" s="24"/>
      <c r="X147" s="25" t="s">
        <v>74</v>
      </c>
      <c r="Y147" s="25"/>
      <c r="Z147" s="25"/>
      <c r="AA147" s="25"/>
      <c r="AB147" s="24">
        <f>200000</f>
        <v>200000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200000</f>
        <v>200000</v>
      </c>
      <c r="AX147" s="24"/>
      <c r="AY147" s="25" t="s">
        <v>74</v>
      </c>
      <c r="AZ147" s="25"/>
      <c r="BA147" s="24">
        <f>192576.39</f>
        <v>192576.39</v>
      </c>
      <c r="BB147" s="24"/>
      <c r="BC147" s="24"/>
      <c r="BD147" s="25" t="s">
        <v>74</v>
      </c>
      <c r="BE147" s="25"/>
      <c r="BF147" s="24">
        <f>192576.39</f>
        <v>192576.39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192576.39</f>
        <v>192576.39</v>
      </c>
      <c r="BR147" s="24"/>
      <c r="BS147" s="24"/>
      <c r="BT147" s="27" t="s">
        <v>74</v>
      </c>
    </row>
    <row r="148" spans="1:72" s="1" customFormat="1" ht="33.75" customHeight="1">
      <c r="A148" s="16" t="s">
        <v>311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229</v>
      </c>
      <c r="N148" s="23"/>
      <c r="O148" s="23"/>
      <c r="P148" s="31" t="s">
        <v>312</v>
      </c>
      <c r="Q148" s="31"/>
      <c r="R148" s="31"/>
      <c r="S148" s="31"/>
      <c r="T148" s="31"/>
      <c r="U148" s="24">
        <f>200000</f>
        <v>200000</v>
      </c>
      <c r="V148" s="24"/>
      <c r="W148" s="24"/>
      <c r="X148" s="25" t="s">
        <v>74</v>
      </c>
      <c r="Y148" s="25"/>
      <c r="Z148" s="25"/>
      <c r="AA148" s="25"/>
      <c r="AB148" s="24">
        <f>200000</f>
        <v>200000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200000</f>
        <v>200000</v>
      </c>
      <c r="AX148" s="24"/>
      <c r="AY148" s="25" t="s">
        <v>74</v>
      </c>
      <c r="AZ148" s="25"/>
      <c r="BA148" s="24">
        <f>192576.39</f>
        <v>192576.39</v>
      </c>
      <c r="BB148" s="24"/>
      <c r="BC148" s="24"/>
      <c r="BD148" s="25" t="s">
        <v>74</v>
      </c>
      <c r="BE148" s="25"/>
      <c r="BF148" s="24">
        <f>192576.39</f>
        <v>192576.39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192576.39</f>
        <v>192576.39</v>
      </c>
      <c r="BR148" s="24"/>
      <c r="BS148" s="24"/>
      <c r="BT148" s="27" t="s">
        <v>74</v>
      </c>
    </row>
    <row r="149" spans="1:72" s="1" customFormat="1" ht="24" customHeight="1">
      <c r="A149" s="16" t="s">
        <v>248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229</v>
      </c>
      <c r="N149" s="23"/>
      <c r="O149" s="23"/>
      <c r="P149" s="31" t="s">
        <v>313</v>
      </c>
      <c r="Q149" s="31"/>
      <c r="R149" s="31"/>
      <c r="S149" s="31"/>
      <c r="T149" s="31"/>
      <c r="U149" s="24">
        <f>200000</f>
        <v>200000</v>
      </c>
      <c r="V149" s="24"/>
      <c r="W149" s="24"/>
      <c r="X149" s="25" t="s">
        <v>74</v>
      </c>
      <c r="Y149" s="25"/>
      <c r="Z149" s="25"/>
      <c r="AA149" s="25"/>
      <c r="AB149" s="24">
        <f>200000</f>
        <v>200000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200000</f>
        <v>200000</v>
      </c>
      <c r="AX149" s="24"/>
      <c r="AY149" s="25" t="s">
        <v>74</v>
      </c>
      <c r="AZ149" s="25"/>
      <c r="BA149" s="24">
        <f>192576.39</f>
        <v>192576.39</v>
      </c>
      <c r="BB149" s="24"/>
      <c r="BC149" s="24"/>
      <c r="BD149" s="25" t="s">
        <v>74</v>
      </c>
      <c r="BE149" s="25"/>
      <c r="BF149" s="24">
        <f>192576.39</f>
        <v>192576.39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192576.39</f>
        <v>192576.39</v>
      </c>
      <c r="BR149" s="24"/>
      <c r="BS149" s="24"/>
      <c r="BT149" s="27" t="s">
        <v>74</v>
      </c>
    </row>
    <row r="150" spans="1:72" s="1" customFormat="1" ht="24" customHeight="1">
      <c r="A150" s="16" t="s">
        <v>250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229</v>
      </c>
      <c r="N150" s="23"/>
      <c r="O150" s="23"/>
      <c r="P150" s="31" t="s">
        <v>314</v>
      </c>
      <c r="Q150" s="31"/>
      <c r="R150" s="31"/>
      <c r="S150" s="31"/>
      <c r="T150" s="31"/>
      <c r="U150" s="24">
        <f>200000</f>
        <v>200000</v>
      </c>
      <c r="V150" s="24"/>
      <c r="W150" s="24"/>
      <c r="X150" s="25" t="s">
        <v>74</v>
      </c>
      <c r="Y150" s="25"/>
      <c r="Z150" s="25"/>
      <c r="AA150" s="25"/>
      <c r="AB150" s="24">
        <f>200000</f>
        <v>200000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200000</f>
        <v>200000</v>
      </c>
      <c r="AX150" s="24"/>
      <c r="AY150" s="25" t="s">
        <v>74</v>
      </c>
      <c r="AZ150" s="25"/>
      <c r="BA150" s="24">
        <f>192576.39</f>
        <v>192576.39</v>
      </c>
      <c r="BB150" s="24"/>
      <c r="BC150" s="24"/>
      <c r="BD150" s="25" t="s">
        <v>74</v>
      </c>
      <c r="BE150" s="25"/>
      <c r="BF150" s="24">
        <f>192576.39</f>
        <v>192576.39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192576.39</f>
        <v>192576.39</v>
      </c>
      <c r="BR150" s="24"/>
      <c r="BS150" s="24"/>
      <c r="BT150" s="27" t="s">
        <v>74</v>
      </c>
    </row>
    <row r="151" spans="1:72" s="1" customFormat="1" ht="13.5" customHeight="1">
      <c r="A151" s="16" t="s">
        <v>252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229</v>
      </c>
      <c r="N151" s="23"/>
      <c r="O151" s="23"/>
      <c r="P151" s="31" t="s">
        <v>315</v>
      </c>
      <c r="Q151" s="31"/>
      <c r="R151" s="31"/>
      <c r="S151" s="31"/>
      <c r="T151" s="31"/>
      <c r="U151" s="24">
        <f>200000</f>
        <v>200000</v>
      </c>
      <c r="V151" s="24"/>
      <c r="W151" s="24"/>
      <c r="X151" s="25" t="s">
        <v>74</v>
      </c>
      <c r="Y151" s="25"/>
      <c r="Z151" s="25"/>
      <c r="AA151" s="25"/>
      <c r="AB151" s="24">
        <f>200000</f>
        <v>200000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200000</f>
        <v>200000</v>
      </c>
      <c r="AX151" s="24"/>
      <c r="AY151" s="25" t="s">
        <v>74</v>
      </c>
      <c r="AZ151" s="25"/>
      <c r="BA151" s="24">
        <f>192576.39</f>
        <v>192576.39</v>
      </c>
      <c r="BB151" s="24"/>
      <c r="BC151" s="24"/>
      <c r="BD151" s="25" t="s">
        <v>74</v>
      </c>
      <c r="BE151" s="25"/>
      <c r="BF151" s="24">
        <f>192576.39</f>
        <v>192576.39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192576.39</f>
        <v>192576.39</v>
      </c>
      <c r="BR151" s="24"/>
      <c r="BS151" s="24"/>
      <c r="BT151" s="27" t="s">
        <v>74</v>
      </c>
    </row>
    <row r="152" spans="1:72" s="1" customFormat="1" ht="13.5" customHeight="1">
      <c r="A152" s="16" t="s">
        <v>316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229</v>
      </c>
      <c r="N152" s="23"/>
      <c r="O152" s="23"/>
      <c r="P152" s="31" t="s">
        <v>317</v>
      </c>
      <c r="Q152" s="31"/>
      <c r="R152" s="31"/>
      <c r="S152" s="31"/>
      <c r="T152" s="31"/>
      <c r="U152" s="24">
        <f>14695946.13</f>
        <v>14695946.13</v>
      </c>
      <c r="V152" s="24"/>
      <c r="W152" s="24"/>
      <c r="X152" s="25" t="s">
        <v>74</v>
      </c>
      <c r="Y152" s="25"/>
      <c r="Z152" s="25"/>
      <c r="AA152" s="25"/>
      <c r="AB152" s="24">
        <f>14695946.13</f>
        <v>14695946.13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14695946.13</f>
        <v>14695946.13</v>
      </c>
      <c r="AX152" s="24"/>
      <c r="AY152" s="25" t="s">
        <v>74</v>
      </c>
      <c r="AZ152" s="25"/>
      <c r="BA152" s="24">
        <f>5483633.57</f>
        <v>5483633.57</v>
      </c>
      <c r="BB152" s="24"/>
      <c r="BC152" s="24"/>
      <c r="BD152" s="25" t="s">
        <v>74</v>
      </c>
      <c r="BE152" s="25"/>
      <c r="BF152" s="24">
        <f>5483633.57</f>
        <v>5483633.57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5483633.57</f>
        <v>5483633.57</v>
      </c>
      <c r="BR152" s="24"/>
      <c r="BS152" s="24"/>
      <c r="BT152" s="27" t="s">
        <v>74</v>
      </c>
    </row>
    <row r="153" spans="1:72" s="1" customFormat="1" ht="13.5" customHeight="1">
      <c r="A153" s="16" t="s">
        <v>318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229</v>
      </c>
      <c r="N153" s="23"/>
      <c r="O153" s="23"/>
      <c r="P153" s="31" t="s">
        <v>319</v>
      </c>
      <c r="Q153" s="31"/>
      <c r="R153" s="31"/>
      <c r="S153" s="31"/>
      <c r="T153" s="31"/>
      <c r="U153" s="24">
        <f>14424646.13</f>
        <v>14424646.13</v>
      </c>
      <c r="V153" s="24"/>
      <c r="W153" s="24"/>
      <c r="X153" s="25" t="s">
        <v>74</v>
      </c>
      <c r="Y153" s="25"/>
      <c r="Z153" s="25"/>
      <c r="AA153" s="25"/>
      <c r="AB153" s="24">
        <f>14424646.13</f>
        <v>14424646.13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14424646.13</f>
        <v>14424646.13</v>
      </c>
      <c r="AX153" s="24"/>
      <c r="AY153" s="25" t="s">
        <v>74</v>
      </c>
      <c r="AZ153" s="25"/>
      <c r="BA153" s="24">
        <f>5475633.57</f>
        <v>5475633.57</v>
      </c>
      <c r="BB153" s="24"/>
      <c r="BC153" s="24"/>
      <c r="BD153" s="25" t="s">
        <v>74</v>
      </c>
      <c r="BE153" s="25"/>
      <c r="BF153" s="24">
        <f>5475633.57</f>
        <v>5475633.57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5475633.57</f>
        <v>5475633.57</v>
      </c>
      <c r="BR153" s="24"/>
      <c r="BS153" s="24"/>
      <c r="BT153" s="27" t="s">
        <v>74</v>
      </c>
    </row>
    <row r="154" spans="1:72" s="1" customFormat="1" ht="24" customHeight="1">
      <c r="A154" s="16" t="s">
        <v>248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229</v>
      </c>
      <c r="N154" s="23"/>
      <c r="O154" s="23"/>
      <c r="P154" s="31" t="s">
        <v>320</v>
      </c>
      <c r="Q154" s="31"/>
      <c r="R154" s="31"/>
      <c r="S154" s="31"/>
      <c r="T154" s="31"/>
      <c r="U154" s="24">
        <f>14424646.13</f>
        <v>14424646.13</v>
      </c>
      <c r="V154" s="24"/>
      <c r="W154" s="24"/>
      <c r="X154" s="25" t="s">
        <v>74</v>
      </c>
      <c r="Y154" s="25"/>
      <c r="Z154" s="25"/>
      <c r="AA154" s="25"/>
      <c r="AB154" s="24">
        <f>14424646.13</f>
        <v>14424646.13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14424646.13</f>
        <v>14424646.13</v>
      </c>
      <c r="AX154" s="24"/>
      <c r="AY154" s="25" t="s">
        <v>74</v>
      </c>
      <c r="AZ154" s="25"/>
      <c r="BA154" s="24">
        <f>5475633.57</f>
        <v>5475633.57</v>
      </c>
      <c r="BB154" s="24"/>
      <c r="BC154" s="24"/>
      <c r="BD154" s="25" t="s">
        <v>74</v>
      </c>
      <c r="BE154" s="25"/>
      <c r="BF154" s="24">
        <f>5475633.57</f>
        <v>5475633.57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5475633.57</f>
        <v>5475633.57</v>
      </c>
      <c r="BR154" s="24"/>
      <c r="BS154" s="24"/>
      <c r="BT154" s="27" t="s">
        <v>74</v>
      </c>
    </row>
    <row r="155" spans="1:72" s="1" customFormat="1" ht="24" customHeight="1">
      <c r="A155" s="16" t="s">
        <v>250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229</v>
      </c>
      <c r="N155" s="23"/>
      <c r="O155" s="23"/>
      <c r="P155" s="31" t="s">
        <v>321</v>
      </c>
      <c r="Q155" s="31"/>
      <c r="R155" s="31"/>
      <c r="S155" s="31"/>
      <c r="T155" s="31"/>
      <c r="U155" s="24">
        <f>14424646.13</f>
        <v>14424646.13</v>
      </c>
      <c r="V155" s="24"/>
      <c r="W155" s="24"/>
      <c r="X155" s="25" t="s">
        <v>74</v>
      </c>
      <c r="Y155" s="25"/>
      <c r="Z155" s="25"/>
      <c r="AA155" s="25"/>
      <c r="AB155" s="24">
        <f>14424646.13</f>
        <v>14424646.13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14424646.13</f>
        <v>14424646.13</v>
      </c>
      <c r="AX155" s="24"/>
      <c r="AY155" s="25" t="s">
        <v>74</v>
      </c>
      <c r="AZ155" s="25"/>
      <c r="BA155" s="24">
        <f>5475633.57</f>
        <v>5475633.57</v>
      </c>
      <c r="BB155" s="24"/>
      <c r="BC155" s="24"/>
      <c r="BD155" s="25" t="s">
        <v>74</v>
      </c>
      <c r="BE155" s="25"/>
      <c r="BF155" s="24">
        <f>5475633.57</f>
        <v>5475633.57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5475633.57</f>
        <v>5475633.57</v>
      </c>
      <c r="BR155" s="24"/>
      <c r="BS155" s="24"/>
      <c r="BT155" s="27" t="s">
        <v>74</v>
      </c>
    </row>
    <row r="156" spans="1:72" s="1" customFormat="1" ht="13.5" customHeight="1">
      <c r="A156" s="16" t="s">
        <v>252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229</v>
      </c>
      <c r="N156" s="23"/>
      <c r="O156" s="23"/>
      <c r="P156" s="31" t="s">
        <v>322</v>
      </c>
      <c r="Q156" s="31"/>
      <c r="R156" s="31"/>
      <c r="S156" s="31"/>
      <c r="T156" s="31"/>
      <c r="U156" s="24">
        <f>14424646.13</f>
        <v>14424646.13</v>
      </c>
      <c r="V156" s="24"/>
      <c r="W156" s="24"/>
      <c r="X156" s="25" t="s">
        <v>74</v>
      </c>
      <c r="Y156" s="25"/>
      <c r="Z156" s="25"/>
      <c r="AA156" s="25"/>
      <c r="AB156" s="24">
        <f>14424646.13</f>
        <v>14424646.13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14424646.13</f>
        <v>14424646.13</v>
      </c>
      <c r="AX156" s="24"/>
      <c r="AY156" s="25" t="s">
        <v>74</v>
      </c>
      <c r="AZ156" s="25"/>
      <c r="BA156" s="24">
        <f>5475633.57</f>
        <v>5475633.57</v>
      </c>
      <c r="BB156" s="24"/>
      <c r="BC156" s="24"/>
      <c r="BD156" s="25" t="s">
        <v>74</v>
      </c>
      <c r="BE156" s="25"/>
      <c r="BF156" s="24">
        <f>5475633.57</f>
        <v>5475633.57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5475633.57</f>
        <v>5475633.57</v>
      </c>
      <c r="BR156" s="24"/>
      <c r="BS156" s="24"/>
      <c r="BT156" s="27" t="s">
        <v>74</v>
      </c>
    </row>
    <row r="157" spans="1:72" s="1" customFormat="1" ht="13.5" customHeight="1">
      <c r="A157" s="16" t="s">
        <v>323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229</v>
      </c>
      <c r="N157" s="23"/>
      <c r="O157" s="23"/>
      <c r="P157" s="31" t="s">
        <v>324</v>
      </c>
      <c r="Q157" s="31"/>
      <c r="R157" s="31"/>
      <c r="S157" s="31"/>
      <c r="T157" s="31"/>
      <c r="U157" s="24">
        <f>271300</f>
        <v>271300</v>
      </c>
      <c r="V157" s="24"/>
      <c r="W157" s="24"/>
      <c r="X157" s="25" t="s">
        <v>74</v>
      </c>
      <c r="Y157" s="25"/>
      <c r="Z157" s="25"/>
      <c r="AA157" s="25"/>
      <c r="AB157" s="24">
        <f>271300</f>
        <v>271300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271300</f>
        <v>271300</v>
      </c>
      <c r="AX157" s="24"/>
      <c r="AY157" s="25" t="s">
        <v>74</v>
      </c>
      <c r="AZ157" s="25"/>
      <c r="BA157" s="24">
        <f>8000</f>
        <v>8000</v>
      </c>
      <c r="BB157" s="24"/>
      <c r="BC157" s="24"/>
      <c r="BD157" s="25" t="s">
        <v>74</v>
      </c>
      <c r="BE157" s="25"/>
      <c r="BF157" s="24">
        <f>8000</f>
        <v>8000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8000</f>
        <v>8000</v>
      </c>
      <c r="BR157" s="24"/>
      <c r="BS157" s="24"/>
      <c r="BT157" s="27" t="s">
        <v>74</v>
      </c>
    </row>
    <row r="158" spans="1:72" s="1" customFormat="1" ht="24" customHeight="1">
      <c r="A158" s="16" t="s">
        <v>248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229</v>
      </c>
      <c r="N158" s="23"/>
      <c r="O158" s="23"/>
      <c r="P158" s="31" t="s">
        <v>325</v>
      </c>
      <c r="Q158" s="31"/>
      <c r="R158" s="31"/>
      <c r="S158" s="31"/>
      <c r="T158" s="31"/>
      <c r="U158" s="24">
        <f>271300</f>
        <v>271300</v>
      </c>
      <c r="V158" s="24"/>
      <c r="W158" s="24"/>
      <c r="X158" s="25" t="s">
        <v>74</v>
      </c>
      <c r="Y158" s="25"/>
      <c r="Z158" s="25"/>
      <c r="AA158" s="25"/>
      <c r="AB158" s="24">
        <f>271300</f>
        <v>271300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271300</f>
        <v>271300</v>
      </c>
      <c r="AX158" s="24"/>
      <c r="AY158" s="25" t="s">
        <v>74</v>
      </c>
      <c r="AZ158" s="25"/>
      <c r="BA158" s="24">
        <f>8000</f>
        <v>8000</v>
      </c>
      <c r="BB158" s="24"/>
      <c r="BC158" s="24"/>
      <c r="BD158" s="25" t="s">
        <v>74</v>
      </c>
      <c r="BE158" s="25"/>
      <c r="BF158" s="24">
        <f>8000</f>
        <v>8000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8000</f>
        <v>8000</v>
      </c>
      <c r="BR158" s="24"/>
      <c r="BS158" s="24"/>
      <c r="BT158" s="27" t="s">
        <v>74</v>
      </c>
    </row>
    <row r="159" spans="1:72" s="1" customFormat="1" ht="24" customHeight="1">
      <c r="A159" s="16" t="s">
        <v>250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229</v>
      </c>
      <c r="N159" s="23"/>
      <c r="O159" s="23"/>
      <c r="P159" s="31" t="s">
        <v>326</v>
      </c>
      <c r="Q159" s="31"/>
      <c r="R159" s="31"/>
      <c r="S159" s="31"/>
      <c r="T159" s="31"/>
      <c r="U159" s="24">
        <f>271300</f>
        <v>271300</v>
      </c>
      <c r="V159" s="24"/>
      <c r="W159" s="24"/>
      <c r="X159" s="25" t="s">
        <v>74</v>
      </c>
      <c r="Y159" s="25"/>
      <c r="Z159" s="25"/>
      <c r="AA159" s="25"/>
      <c r="AB159" s="24">
        <f>271300</f>
        <v>271300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271300</f>
        <v>271300</v>
      </c>
      <c r="AX159" s="24"/>
      <c r="AY159" s="25" t="s">
        <v>74</v>
      </c>
      <c r="AZ159" s="25"/>
      <c r="BA159" s="24">
        <f>8000</f>
        <v>8000</v>
      </c>
      <c r="BB159" s="24"/>
      <c r="BC159" s="24"/>
      <c r="BD159" s="25" t="s">
        <v>74</v>
      </c>
      <c r="BE159" s="25"/>
      <c r="BF159" s="24">
        <f>8000</f>
        <v>8000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8000</f>
        <v>8000</v>
      </c>
      <c r="BR159" s="24"/>
      <c r="BS159" s="24"/>
      <c r="BT159" s="27" t="s">
        <v>74</v>
      </c>
    </row>
    <row r="160" spans="1:72" s="1" customFormat="1" ht="13.5" customHeight="1">
      <c r="A160" s="16" t="s">
        <v>252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229</v>
      </c>
      <c r="N160" s="23"/>
      <c r="O160" s="23"/>
      <c r="P160" s="31" t="s">
        <v>327</v>
      </c>
      <c r="Q160" s="31"/>
      <c r="R160" s="31"/>
      <c r="S160" s="31"/>
      <c r="T160" s="31"/>
      <c r="U160" s="24">
        <f>271300</f>
        <v>271300</v>
      </c>
      <c r="V160" s="24"/>
      <c r="W160" s="24"/>
      <c r="X160" s="25" t="s">
        <v>74</v>
      </c>
      <c r="Y160" s="25"/>
      <c r="Z160" s="25"/>
      <c r="AA160" s="25"/>
      <c r="AB160" s="24">
        <f>271300</f>
        <v>271300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271300</f>
        <v>271300</v>
      </c>
      <c r="AX160" s="24"/>
      <c r="AY160" s="25" t="s">
        <v>74</v>
      </c>
      <c r="AZ160" s="25"/>
      <c r="BA160" s="24">
        <f>8000</f>
        <v>8000</v>
      </c>
      <c r="BB160" s="24"/>
      <c r="BC160" s="24"/>
      <c r="BD160" s="25" t="s">
        <v>74</v>
      </c>
      <c r="BE160" s="25"/>
      <c r="BF160" s="24">
        <f>8000</f>
        <v>8000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8000</f>
        <v>8000</v>
      </c>
      <c r="BR160" s="24"/>
      <c r="BS160" s="24"/>
      <c r="BT160" s="27" t="s">
        <v>74</v>
      </c>
    </row>
    <row r="161" spans="1:72" s="1" customFormat="1" ht="13.5" customHeight="1">
      <c r="A161" s="16" t="s">
        <v>328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229</v>
      </c>
      <c r="N161" s="23"/>
      <c r="O161" s="23"/>
      <c r="P161" s="31" t="s">
        <v>329</v>
      </c>
      <c r="Q161" s="31"/>
      <c r="R161" s="31"/>
      <c r="S161" s="31"/>
      <c r="T161" s="31"/>
      <c r="U161" s="24">
        <f>23463568.82</f>
        <v>23463568.82</v>
      </c>
      <c r="V161" s="24"/>
      <c r="W161" s="24"/>
      <c r="X161" s="25" t="s">
        <v>74</v>
      </c>
      <c r="Y161" s="25"/>
      <c r="Z161" s="25"/>
      <c r="AA161" s="25"/>
      <c r="AB161" s="24">
        <f>23463568.82</f>
        <v>23463568.82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23463568.82</f>
        <v>23463568.82</v>
      </c>
      <c r="AX161" s="24"/>
      <c r="AY161" s="25" t="s">
        <v>74</v>
      </c>
      <c r="AZ161" s="25"/>
      <c r="BA161" s="24">
        <f>4999615.38</f>
        <v>4999615.38</v>
      </c>
      <c r="BB161" s="24"/>
      <c r="BC161" s="24"/>
      <c r="BD161" s="25" t="s">
        <v>74</v>
      </c>
      <c r="BE161" s="25"/>
      <c r="BF161" s="24">
        <f>4999615.38</f>
        <v>4999615.38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4999615.38</f>
        <v>4999615.38</v>
      </c>
      <c r="BR161" s="24"/>
      <c r="BS161" s="24"/>
      <c r="BT161" s="27" t="s">
        <v>74</v>
      </c>
    </row>
    <row r="162" spans="1:72" s="1" customFormat="1" ht="13.5" customHeight="1">
      <c r="A162" s="16" t="s">
        <v>330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229</v>
      </c>
      <c r="N162" s="23"/>
      <c r="O162" s="23"/>
      <c r="P162" s="31" t="s">
        <v>331</v>
      </c>
      <c r="Q162" s="31"/>
      <c r="R162" s="31"/>
      <c r="S162" s="31"/>
      <c r="T162" s="31"/>
      <c r="U162" s="24">
        <f>727370</f>
        <v>727370</v>
      </c>
      <c r="V162" s="24"/>
      <c r="W162" s="24"/>
      <c r="X162" s="25" t="s">
        <v>74</v>
      </c>
      <c r="Y162" s="25"/>
      <c r="Z162" s="25"/>
      <c r="AA162" s="25"/>
      <c r="AB162" s="24">
        <f>727370</f>
        <v>727370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727370</f>
        <v>727370</v>
      </c>
      <c r="AX162" s="24"/>
      <c r="AY162" s="25" t="s">
        <v>74</v>
      </c>
      <c r="AZ162" s="25"/>
      <c r="BA162" s="24">
        <f>306913.38</f>
        <v>306913.38</v>
      </c>
      <c r="BB162" s="24"/>
      <c r="BC162" s="24"/>
      <c r="BD162" s="25" t="s">
        <v>74</v>
      </c>
      <c r="BE162" s="25"/>
      <c r="BF162" s="24">
        <f>306913.38</f>
        <v>306913.38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306913.38</f>
        <v>306913.38</v>
      </c>
      <c r="BR162" s="24"/>
      <c r="BS162" s="24"/>
      <c r="BT162" s="27" t="s">
        <v>74</v>
      </c>
    </row>
    <row r="163" spans="1:72" s="1" customFormat="1" ht="24" customHeight="1">
      <c r="A163" s="16" t="s">
        <v>248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229</v>
      </c>
      <c r="N163" s="23"/>
      <c r="O163" s="23"/>
      <c r="P163" s="31" t="s">
        <v>332</v>
      </c>
      <c r="Q163" s="31"/>
      <c r="R163" s="31"/>
      <c r="S163" s="31"/>
      <c r="T163" s="31"/>
      <c r="U163" s="24">
        <f>727370</f>
        <v>727370</v>
      </c>
      <c r="V163" s="24"/>
      <c r="W163" s="24"/>
      <c r="X163" s="25" t="s">
        <v>74</v>
      </c>
      <c r="Y163" s="25"/>
      <c r="Z163" s="25"/>
      <c r="AA163" s="25"/>
      <c r="AB163" s="24">
        <f>727370</f>
        <v>727370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727370</f>
        <v>727370</v>
      </c>
      <c r="AX163" s="24"/>
      <c r="AY163" s="25" t="s">
        <v>74</v>
      </c>
      <c r="AZ163" s="25"/>
      <c r="BA163" s="24">
        <f>306913.38</f>
        <v>306913.38</v>
      </c>
      <c r="BB163" s="24"/>
      <c r="BC163" s="24"/>
      <c r="BD163" s="25" t="s">
        <v>74</v>
      </c>
      <c r="BE163" s="25"/>
      <c r="BF163" s="24">
        <f>306913.38</f>
        <v>306913.38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306913.38</f>
        <v>306913.38</v>
      </c>
      <c r="BR163" s="24"/>
      <c r="BS163" s="24"/>
      <c r="BT163" s="27" t="s">
        <v>74</v>
      </c>
    </row>
    <row r="164" spans="1:72" s="1" customFormat="1" ht="24" customHeight="1">
      <c r="A164" s="16" t="s">
        <v>250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229</v>
      </c>
      <c r="N164" s="23"/>
      <c r="O164" s="23"/>
      <c r="P164" s="31" t="s">
        <v>333</v>
      </c>
      <c r="Q164" s="31"/>
      <c r="R164" s="31"/>
      <c r="S164" s="31"/>
      <c r="T164" s="31"/>
      <c r="U164" s="24">
        <f>727370</f>
        <v>727370</v>
      </c>
      <c r="V164" s="24"/>
      <c r="W164" s="24"/>
      <c r="X164" s="25" t="s">
        <v>74</v>
      </c>
      <c r="Y164" s="25"/>
      <c r="Z164" s="25"/>
      <c r="AA164" s="25"/>
      <c r="AB164" s="24">
        <f>727370</f>
        <v>727370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727370</f>
        <v>727370</v>
      </c>
      <c r="AX164" s="24"/>
      <c r="AY164" s="25" t="s">
        <v>74</v>
      </c>
      <c r="AZ164" s="25"/>
      <c r="BA164" s="24">
        <f>306913.38</f>
        <v>306913.38</v>
      </c>
      <c r="BB164" s="24"/>
      <c r="BC164" s="24"/>
      <c r="BD164" s="25" t="s">
        <v>74</v>
      </c>
      <c r="BE164" s="25"/>
      <c r="BF164" s="24">
        <f>306913.38</f>
        <v>306913.38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306913.38</f>
        <v>306913.38</v>
      </c>
      <c r="BR164" s="24"/>
      <c r="BS164" s="24"/>
      <c r="BT164" s="27" t="s">
        <v>74</v>
      </c>
    </row>
    <row r="165" spans="1:72" s="1" customFormat="1" ht="13.5" customHeight="1">
      <c r="A165" s="16" t="s">
        <v>252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229</v>
      </c>
      <c r="N165" s="23"/>
      <c r="O165" s="23"/>
      <c r="P165" s="31" t="s">
        <v>334</v>
      </c>
      <c r="Q165" s="31"/>
      <c r="R165" s="31"/>
      <c r="S165" s="31"/>
      <c r="T165" s="31"/>
      <c r="U165" s="24">
        <f>727370</f>
        <v>727370</v>
      </c>
      <c r="V165" s="24"/>
      <c r="W165" s="24"/>
      <c r="X165" s="25" t="s">
        <v>74</v>
      </c>
      <c r="Y165" s="25"/>
      <c r="Z165" s="25"/>
      <c r="AA165" s="25"/>
      <c r="AB165" s="24">
        <f>727370</f>
        <v>727370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727370</f>
        <v>727370</v>
      </c>
      <c r="AX165" s="24"/>
      <c r="AY165" s="25" t="s">
        <v>74</v>
      </c>
      <c r="AZ165" s="25"/>
      <c r="BA165" s="24">
        <f>306913.38</f>
        <v>306913.38</v>
      </c>
      <c r="BB165" s="24"/>
      <c r="BC165" s="24"/>
      <c r="BD165" s="25" t="s">
        <v>74</v>
      </c>
      <c r="BE165" s="25"/>
      <c r="BF165" s="24">
        <f>306913.38</f>
        <v>306913.38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306913.38</f>
        <v>306913.38</v>
      </c>
      <c r="BR165" s="24"/>
      <c r="BS165" s="24"/>
      <c r="BT165" s="27" t="s">
        <v>74</v>
      </c>
    </row>
    <row r="166" spans="1:72" s="1" customFormat="1" ht="13.5" customHeight="1">
      <c r="A166" s="16" t="s">
        <v>335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229</v>
      </c>
      <c r="N166" s="23"/>
      <c r="O166" s="23"/>
      <c r="P166" s="31" t="s">
        <v>336</v>
      </c>
      <c r="Q166" s="31"/>
      <c r="R166" s="31"/>
      <c r="S166" s="31"/>
      <c r="T166" s="31"/>
      <c r="U166" s="24">
        <f>22736198.82</f>
        <v>22736198.82</v>
      </c>
      <c r="V166" s="24"/>
      <c r="W166" s="24"/>
      <c r="X166" s="25" t="s">
        <v>74</v>
      </c>
      <c r="Y166" s="25"/>
      <c r="Z166" s="25"/>
      <c r="AA166" s="25"/>
      <c r="AB166" s="24">
        <f>22736198.82</f>
        <v>22736198.82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22736198.82</f>
        <v>22736198.82</v>
      </c>
      <c r="AX166" s="24"/>
      <c r="AY166" s="25" t="s">
        <v>74</v>
      </c>
      <c r="AZ166" s="25"/>
      <c r="BA166" s="24">
        <f>4692702</f>
        <v>4692702</v>
      </c>
      <c r="BB166" s="24"/>
      <c r="BC166" s="24"/>
      <c r="BD166" s="25" t="s">
        <v>74</v>
      </c>
      <c r="BE166" s="25"/>
      <c r="BF166" s="24">
        <f>4692702</f>
        <v>4692702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4692702</f>
        <v>4692702</v>
      </c>
      <c r="BR166" s="24"/>
      <c r="BS166" s="24"/>
      <c r="BT166" s="27" t="s">
        <v>74</v>
      </c>
    </row>
    <row r="167" spans="1:72" s="1" customFormat="1" ht="54.75" customHeight="1">
      <c r="A167" s="16" t="s">
        <v>234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229</v>
      </c>
      <c r="N167" s="23"/>
      <c r="O167" s="23"/>
      <c r="P167" s="31" t="s">
        <v>337</v>
      </c>
      <c r="Q167" s="31"/>
      <c r="R167" s="31"/>
      <c r="S167" s="31"/>
      <c r="T167" s="31"/>
      <c r="U167" s="24">
        <f>2002050</f>
        <v>2002050</v>
      </c>
      <c r="V167" s="24"/>
      <c r="W167" s="24"/>
      <c r="X167" s="25" t="s">
        <v>74</v>
      </c>
      <c r="Y167" s="25"/>
      <c r="Z167" s="25"/>
      <c r="AA167" s="25"/>
      <c r="AB167" s="24">
        <f>2002050</f>
        <v>2002050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2002050</f>
        <v>2002050</v>
      </c>
      <c r="AX167" s="24"/>
      <c r="AY167" s="25" t="s">
        <v>74</v>
      </c>
      <c r="AZ167" s="25"/>
      <c r="BA167" s="24">
        <f>862942.93</f>
        <v>862942.93</v>
      </c>
      <c r="BB167" s="24"/>
      <c r="BC167" s="24"/>
      <c r="BD167" s="25" t="s">
        <v>74</v>
      </c>
      <c r="BE167" s="25"/>
      <c r="BF167" s="24">
        <f>862942.93</f>
        <v>862942.93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862942.93</f>
        <v>862942.93</v>
      </c>
      <c r="BR167" s="24"/>
      <c r="BS167" s="24"/>
      <c r="BT167" s="27" t="s">
        <v>74</v>
      </c>
    </row>
    <row r="168" spans="1:72" s="1" customFormat="1" ht="13.5" customHeight="1">
      <c r="A168" s="16" t="s">
        <v>281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229</v>
      </c>
      <c r="N168" s="23"/>
      <c r="O168" s="23"/>
      <c r="P168" s="31" t="s">
        <v>338</v>
      </c>
      <c r="Q168" s="31"/>
      <c r="R168" s="31"/>
      <c r="S168" s="31"/>
      <c r="T168" s="31"/>
      <c r="U168" s="24">
        <f>2002050</f>
        <v>2002050</v>
      </c>
      <c r="V168" s="24"/>
      <c r="W168" s="24"/>
      <c r="X168" s="25" t="s">
        <v>74</v>
      </c>
      <c r="Y168" s="25"/>
      <c r="Z168" s="25"/>
      <c r="AA168" s="25"/>
      <c r="AB168" s="24">
        <f>2002050</f>
        <v>2002050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2002050</f>
        <v>2002050</v>
      </c>
      <c r="AX168" s="24"/>
      <c r="AY168" s="25" t="s">
        <v>74</v>
      </c>
      <c r="AZ168" s="25"/>
      <c r="BA168" s="24">
        <f>862942.93</f>
        <v>862942.93</v>
      </c>
      <c r="BB168" s="24"/>
      <c r="BC168" s="24"/>
      <c r="BD168" s="25" t="s">
        <v>74</v>
      </c>
      <c r="BE168" s="25"/>
      <c r="BF168" s="24">
        <f>862942.93</f>
        <v>862942.93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862942.93</f>
        <v>862942.93</v>
      </c>
      <c r="BR168" s="24"/>
      <c r="BS168" s="24"/>
      <c r="BT168" s="27" t="s">
        <v>74</v>
      </c>
    </row>
    <row r="169" spans="1:72" s="1" customFormat="1" ht="13.5" customHeight="1">
      <c r="A169" s="16" t="s">
        <v>283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229</v>
      </c>
      <c r="N169" s="23"/>
      <c r="O169" s="23"/>
      <c r="P169" s="31" t="s">
        <v>339</v>
      </c>
      <c r="Q169" s="31"/>
      <c r="R169" s="31"/>
      <c r="S169" s="31"/>
      <c r="T169" s="31"/>
      <c r="U169" s="24">
        <f>1529750</f>
        <v>1529750</v>
      </c>
      <c r="V169" s="24"/>
      <c r="W169" s="24"/>
      <c r="X169" s="25" t="s">
        <v>74</v>
      </c>
      <c r="Y169" s="25"/>
      <c r="Z169" s="25"/>
      <c r="AA169" s="25"/>
      <c r="AB169" s="24">
        <f>1529750</f>
        <v>1529750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1529750</f>
        <v>1529750</v>
      </c>
      <c r="AX169" s="24"/>
      <c r="AY169" s="25" t="s">
        <v>74</v>
      </c>
      <c r="AZ169" s="25"/>
      <c r="BA169" s="24">
        <f>673956.93</f>
        <v>673956.93</v>
      </c>
      <c r="BB169" s="24"/>
      <c r="BC169" s="24"/>
      <c r="BD169" s="25" t="s">
        <v>74</v>
      </c>
      <c r="BE169" s="25"/>
      <c r="BF169" s="24">
        <f>673956.93</f>
        <v>673956.93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673956.93</f>
        <v>673956.93</v>
      </c>
      <c r="BR169" s="24"/>
      <c r="BS169" s="24"/>
      <c r="BT169" s="27" t="s">
        <v>74</v>
      </c>
    </row>
    <row r="170" spans="1:72" s="1" customFormat="1" ht="33.75" customHeight="1">
      <c r="A170" s="16" t="s">
        <v>285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229</v>
      </c>
      <c r="N170" s="23"/>
      <c r="O170" s="23"/>
      <c r="P170" s="31" t="s">
        <v>340</v>
      </c>
      <c r="Q170" s="31"/>
      <c r="R170" s="31"/>
      <c r="S170" s="31"/>
      <c r="T170" s="31"/>
      <c r="U170" s="24">
        <f>472300</f>
        <v>472300</v>
      </c>
      <c r="V170" s="24"/>
      <c r="W170" s="24"/>
      <c r="X170" s="25" t="s">
        <v>74</v>
      </c>
      <c r="Y170" s="25"/>
      <c r="Z170" s="25"/>
      <c r="AA170" s="25"/>
      <c r="AB170" s="24">
        <f>472300</f>
        <v>472300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472300</f>
        <v>472300</v>
      </c>
      <c r="AX170" s="24"/>
      <c r="AY170" s="25" t="s">
        <v>74</v>
      </c>
      <c r="AZ170" s="25"/>
      <c r="BA170" s="24">
        <f>188986</f>
        <v>188986</v>
      </c>
      <c r="BB170" s="24"/>
      <c r="BC170" s="24"/>
      <c r="BD170" s="25" t="s">
        <v>74</v>
      </c>
      <c r="BE170" s="25"/>
      <c r="BF170" s="24">
        <f>188986</f>
        <v>188986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188986</f>
        <v>188986</v>
      </c>
      <c r="BR170" s="24"/>
      <c r="BS170" s="24"/>
      <c r="BT170" s="27" t="s">
        <v>74</v>
      </c>
    </row>
    <row r="171" spans="1:72" s="1" customFormat="1" ht="24" customHeight="1">
      <c r="A171" s="16" t="s">
        <v>248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229</v>
      </c>
      <c r="N171" s="23"/>
      <c r="O171" s="23"/>
      <c r="P171" s="31" t="s">
        <v>341</v>
      </c>
      <c r="Q171" s="31"/>
      <c r="R171" s="31"/>
      <c r="S171" s="31"/>
      <c r="T171" s="31"/>
      <c r="U171" s="24">
        <f>20724148.82</f>
        <v>20724148.82</v>
      </c>
      <c r="V171" s="24"/>
      <c r="W171" s="24"/>
      <c r="X171" s="25" t="s">
        <v>74</v>
      </c>
      <c r="Y171" s="25"/>
      <c r="Z171" s="25"/>
      <c r="AA171" s="25"/>
      <c r="AB171" s="24">
        <f>20724148.82</f>
        <v>20724148.82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20724148.82</f>
        <v>20724148.82</v>
      </c>
      <c r="AX171" s="24"/>
      <c r="AY171" s="25" t="s">
        <v>74</v>
      </c>
      <c r="AZ171" s="25"/>
      <c r="BA171" s="24">
        <f>3829759.07</f>
        <v>3829759.07</v>
      </c>
      <c r="BB171" s="24"/>
      <c r="BC171" s="24"/>
      <c r="BD171" s="25" t="s">
        <v>74</v>
      </c>
      <c r="BE171" s="25"/>
      <c r="BF171" s="24">
        <f>3829759.07</f>
        <v>3829759.07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3829759.07</f>
        <v>3829759.07</v>
      </c>
      <c r="BR171" s="24"/>
      <c r="BS171" s="24"/>
      <c r="BT171" s="27" t="s">
        <v>74</v>
      </c>
    </row>
    <row r="172" spans="1:72" s="1" customFormat="1" ht="24" customHeight="1">
      <c r="A172" s="16" t="s">
        <v>250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229</v>
      </c>
      <c r="N172" s="23"/>
      <c r="O172" s="23"/>
      <c r="P172" s="31" t="s">
        <v>342</v>
      </c>
      <c r="Q172" s="31"/>
      <c r="R172" s="31"/>
      <c r="S172" s="31"/>
      <c r="T172" s="31"/>
      <c r="U172" s="24">
        <f>20724148.82</f>
        <v>20724148.82</v>
      </c>
      <c r="V172" s="24"/>
      <c r="W172" s="24"/>
      <c r="X172" s="25" t="s">
        <v>74</v>
      </c>
      <c r="Y172" s="25"/>
      <c r="Z172" s="25"/>
      <c r="AA172" s="25"/>
      <c r="AB172" s="24">
        <f>20724148.82</f>
        <v>20724148.82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20724148.82</f>
        <v>20724148.82</v>
      </c>
      <c r="AX172" s="24"/>
      <c r="AY172" s="25" t="s">
        <v>74</v>
      </c>
      <c r="AZ172" s="25"/>
      <c r="BA172" s="24">
        <f>3829759.07</f>
        <v>3829759.07</v>
      </c>
      <c r="BB172" s="24"/>
      <c r="BC172" s="24"/>
      <c r="BD172" s="25" t="s">
        <v>74</v>
      </c>
      <c r="BE172" s="25"/>
      <c r="BF172" s="24">
        <f>3829759.07</f>
        <v>3829759.07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3829759.07</f>
        <v>3829759.07</v>
      </c>
      <c r="BR172" s="24"/>
      <c r="BS172" s="24"/>
      <c r="BT172" s="27" t="s">
        <v>74</v>
      </c>
    </row>
    <row r="173" spans="1:72" s="1" customFormat="1" ht="13.5" customHeight="1">
      <c r="A173" s="16" t="s">
        <v>252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229</v>
      </c>
      <c r="N173" s="23"/>
      <c r="O173" s="23"/>
      <c r="P173" s="31" t="s">
        <v>343</v>
      </c>
      <c r="Q173" s="31"/>
      <c r="R173" s="31"/>
      <c r="S173" s="31"/>
      <c r="T173" s="31"/>
      <c r="U173" s="24">
        <f>18724148.82</f>
        <v>18724148.82</v>
      </c>
      <c r="V173" s="24"/>
      <c r="W173" s="24"/>
      <c r="X173" s="25" t="s">
        <v>74</v>
      </c>
      <c r="Y173" s="25"/>
      <c r="Z173" s="25"/>
      <c r="AA173" s="25"/>
      <c r="AB173" s="24">
        <f>18724148.82</f>
        <v>18724148.82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18724148.82</f>
        <v>18724148.82</v>
      </c>
      <c r="AX173" s="24"/>
      <c r="AY173" s="25" t="s">
        <v>74</v>
      </c>
      <c r="AZ173" s="25"/>
      <c r="BA173" s="24">
        <f>2817978.27</f>
        <v>2817978.27</v>
      </c>
      <c r="BB173" s="24"/>
      <c r="BC173" s="24"/>
      <c r="BD173" s="25" t="s">
        <v>74</v>
      </c>
      <c r="BE173" s="25"/>
      <c r="BF173" s="24">
        <f>2817978.27</f>
        <v>2817978.27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2817978.27</f>
        <v>2817978.27</v>
      </c>
      <c r="BR173" s="24"/>
      <c r="BS173" s="24"/>
      <c r="BT173" s="27" t="s">
        <v>74</v>
      </c>
    </row>
    <row r="174" spans="1:72" s="1" customFormat="1" ht="13.5" customHeight="1">
      <c r="A174" s="16" t="s">
        <v>254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229</v>
      </c>
      <c r="N174" s="23"/>
      <c r="O174" s="23"/>
      <c r="P174" s="31" t="s">
        <v>344</v>
      </c>
      <c r="Q174" s="31"/>
      <c r="R174" s="31"/>
      <c r="S174" s="31"/>
      <c r="T174" s="31"/>
      <c r="U174" s="24">
        <f>2000000</f>
        <v>2000000</v>
      </c>
      <c r="V174" s="24"/>
      <c r="W174" s="24"/>
      <c r="X174" s="25" t="s">
        <v>74</v>
      </c>
      <c r="Y174" s="25"/>
      <c r="Z174" s="25"/>
      <c r="AA174" s="25"/>
      <c r="AB174" s="24">
        <f>2000000</f>
        <v>2000000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2000000</f>
        <v>2000000</v>
      </c>
      <c r="AX174" s="24"/>
      <c r="AY174" s="25" t="s">
        <v>74</v>
      </c>
      <c r="AZ174" s="25"/>
      <c r="BA174" s="24">
        <f>1011780.8</f>
        <v>1011780.8</v>
      </c>
      <c r="BB174" s="24"/>
      <c r="BC174" s="24"/>
      <c r="BD174" s="25" t="s">
        <v>74</v>
      </c>
      <c r="BE174" s="25"/>
      <c r="BF174" s="24">
        <f>1011780.8</f>
        <v>1011780.8</v>
      </c>
      <c r="BG174" s="24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4">
        <f>1011780.8</f>
        <v>1011780.8</v>
      </c>
      <c r="BR174" s="24"/>
      <c r="BS174" s="24"/>
      <c r="BT174" s="27" t="s">
        <v>74</v>
      </c>
    </row>
    <row r="175" spans="1:72" s="1" customFormat="1" ht="13.5" customHeight="1">
      <c r="A175" s="16" t="s">
        <v>259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229</v>
      </c>
      <c r="N175" s="23"/>
      <c r="O175" s="23"/>
      <c r="P175" s="31" t="s">
        <v>345</v>
      </c>
      <c r="Q175" s="31"/>
      <c r="R175" s="31"/>
      <c r="S175" s="31"/>
      <c r="T175" s="31"/>
      <c r="U175" s="24">
        <f>10000</f>
        <v>10000</v>
      </c>
      <c r="V175" s="24"/>
      <c r="W175" s="24"/>
      <c r="X175" s="25" t="s">
        <v>74</v>
      </c>
      <c r="Y175" s="25"/>
      <c r="Z175" s="25"/>
      <c r="AA175" s="25"/>
      <c r="AB175" s="24">
        <f>10000</f>
        <v>10000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10000</f>
        <v>10000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13.5" customHeight="1">
      <c r="A176" s="16" t="s">
        <v>261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229</v>
      </c>
      <c r="N176" s="23"/>
      <c r="O176" s="23"/>
      <c r="P176" s="31" t="s">
        <v>346</v>
      </c>
      <c r="Q176" s="31"/>
      <c r="R176" s="31"/>
      <c r="S176" s="31"/>
      <c r="T176" s="31"/>
      <c r="U176" s="24">
        <f>10000</f>
        <v>10000</v>
      </c>
      <c r="V176" s="24"/>
      <c r="W176" s="24"/>
      <c r="X176" s="25" t="s">
        <v>74</v>
      </c>
      <c r="Y176" s="25"/>
      <c r="Z176" s="25"/>
      <c r="AA176" s="25"/>
      <c r="AB176" s="24">
        <f>10000</f>
        <v>10000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10000</f>
        <v>10000</v>
      </c>
      <c r="AX176" s="24"/>
      <c r="AY176" s="25" t="s">
        <v>74</v>
      </c>
      <c r="AZ176" s="25"/>
      <c r="BA176" s="25" t="s">
        <v>74</v>
      </c>
      <c r="BB176" s="25"/>
      <c r="BC176" s="25"/>
      <c r="BD176" s="25" t="s">
        <v>74</v>
      </c>
      <c r="BE176" s="25"/>
      <c r="BF176" s="25" t="s">
        <v>74</v>
      </c>
      <c r="BG176" s="25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5" t="s">
        <v>74</v>
      </c>
      <c r="BR176" s="25"/>
      <c r="BS176" s="25"/>
      <c r="BT176" s="27" t="s">
        <v>74</v>
      </c>
    </row>
    <row r="177" spans="1:72" s="1" customFormat="1" ht="13.5" customHeight="1">
      <c r="A177" s="16" t="s">
        <v>265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229</v>
      </c>
      <c r="N177" s="23"/>
      <c r="O177" s="23"/>
      <c r="P177" s="31" t="s">
        <v>347</v>
      </c>
      <c r="Q177" s="31"/>
      <c r="R177" s="31"/>
      <c r="S177" s="31"/>
      <c r="T177" s="31"/>
      <c r="U177" s="24">
        <f>9900</f>
        <v>9900</v>
      </c>
      <c r="V177" s="24"/>
      <c r="W177" s="24"/>
      <c r="X177" s="25" t="s">
        <v>74</v>
      </c>
      <c r="Y177" s="25"/>
      <c r="Z177" s="25"/>
      <c r="AA177" s="25"/>
      <c r="AB177" s="24">
        <f>9900</f>
        <v>9900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9900</f>
        <v>9900</v>
      </c>
      <c r="AX177" s="24"/>
      <c r="AY177" s="25" t="s">
        <v>74</v>
      </c>
      <c r="AZ177" s="25"/>
      <c r="BA177" s="25" t="s">
        <v>74</v>
      </c>
      <c r="BB177" s="25"/>
      <c r="BC177" s="25"/>
      <c r="BD177" s="25" t="s">
        <v>74</v>
      </c>
      <c r="BE177" s="25"/>
      <c r="BF177" s="25" t="s">
        <v>74</v>
      </c>
      <c r="BG177" s="25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5" t="s">
        <v>74</v>
      </c>
      <c r="BR177" s="25"/>
      <c r="BS177" s="25"/>
      <c r="BT177" s="27" t="s">
        <v>74</v>
      </c>
    </row>
    <row r="178" spans="1:72" s="1" customFormat="1" ht="13.5" customHeight="1">
      <c r="A178" s="16" t="s">
        <v>267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229</v>
      </c>
      <c r="N178" s="23"/>
      <c r="O178" s="23"/>
      <c r="P178" s="31" t="s">
        <v>348</v>
      </c>
      <c r="Q178" s="31"/>
      <c r="R178" s="31"/>
      <c r="S178" s="31"/>
      <c r="T178" s="31"/>
      <c r="U178" s="24">
        <f>100</f>
        <v>100</v>
      </c>
      <c r="V178" s="24"/>
      <c r="W178" s="24"/>
      <c r="X178" s="25" t="s">
        <v>74</v>
      </c>
      <c r="Y178" s="25"/>
      <c r="Z178" s="25"/>
      <c r="AA178" s="25"/>
      <c r="AB178" s="24">
        <f>100</f>
        <v>100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100</f>
        <v>100</v>
      </c>
      <c r="AX178" s="24"/>
      <c r="AY178" s="25" t="s">
        <v>74</v>
      </c>
      <c r="AZ178" s="25"/>
      <c r="BA178" s="25" t="s">
        <v>74</v>
      </c>
      <c r="BB178" s="25"/>
      <c r="BC178" s="25"/>
      <c r="BD178" s="25" t="s">
        <v>74</v>
      </c>
      <c r="BE178" s="25"/>
      <c r="BF178" s="25" t="s">
        <v>74</v>
      </c>
      <c r="BG178" s="25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5" t="s">
        <v>74</v>
      </c>
      <c r="BR178" s="25"/>
      <c r="BS178" s="25"/>
      <c r="BT178" s="27" t="s">
        <v>74</v>
      </c>
    </row>
    <row r="179" spans="1:72" s="1" customFormat="1" ht="13.5" customHeight="1">
      <c r="A179" s="16" t="s">
        <v>349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229</v>
      </c>
      <c r="N179" s="23"/>
      <c r="O179" s="23"/>
      <c r="P179" s="31" t="s">
        <v>350</v>
      </c>
      <c r="Q179" s="31"/>
      <c r="R179" s="31"/>
      <c r="S179" s="31"/>
      <c r="T179" s="31"/>
      <c r="U179" s="24">
        <f>155500</f>
        <v>155500</v>
      </c>
      <c r="V179" s="24"/>
      <c r="W179" s="24"/>
      <c r="X179" s="25" t="s">
        <v>74</v>
      </c>
      <c r="Y179" s="25"/>
      <c r="Z179" s="25"/>
      <c r="AA179" s="25"/>
      <c r="AB179" s="24">
        <f>155500</f>
        <v>155500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155500</f>
        <v>155500</v>
      </c>
      <c r="AX179" s="24"/>
      <c r="AY179" s="25" t="s">
        <v>74</v>
      </c>
      <c r="AZ179" s="25"/>
      <c r="BA179" s="24">
        <f>71635</f>
        <v>71635</v>
      </c>
      <c r="BB179" s="24"/>
      <c r="BC179" s="24"/>
      <c r="BD179" s="25" t="s">
        <v>74</v>
      </c>
      <c r="BE179" s="25"/>
      <c r="BF179" s="24">
        <f>71635</f>
        <v>71635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71635</f>
        <v>71635</v>
      </c>
      <c r="BR179" s="24"/>
      <c r="BS179" s="24"/>
      <c r="BT179" s="27" t="s">
        <v>74</v>
      </c>
    </row>
    <row r="180" spans="1:72" s="1" customFormat="1" ht="24" customHeight="1">
      <c r="A180" s="16" t="s">
        <v>351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229</v>
      </c>
      <c r="N180" s="23"/>
      <c r="O180" s="23"/>
      <c r="P180" s="31" t="s">
        <v>352</v>
      </c>
      <c r="Q180" s="31"/>
      <c r="R180" s="31"/>
      <c r="S180" s="31"/>
      <c r="T180" s="31"/>
      <c r="U180" s="24">
        <f>30000</f>
        <v>30000</v>
      </c>
      <c r="V180" s="24"/>
      <c r="W180" s="24"/>
      <c r="X180" s="25" t="s">
        <v>74</v>
      </c>
      <c r="Y180" s="25"/>
      <c r="Z180" s="25"/>
      <c r="AA180" s="25"/>
      <c r="AB180" s="24">
        <f>30000</f>
        <v>30000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30000</f>
        <v>30000</v>
      </c>
      <c r="AX180" s="24"/>
      <c r="AY180" s="25" t="s">
        <v>74</v>
      </c>
      <c r="AZ180" s="25"/>
      <c r="BA180" s="24">
        <f>15800</f>
        <v>15800</v>
      </c>
      <c r="BB180" s="24"/>
      <c r="BC180" s="24"/>
      <c r="BD180" s="25" t="s">
        <v>74</v>
      </c>
      <c r="BE180" s="25"/>
      <c r="BF180" s="24">
        <f>15800</f>
        <v>15800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15800</f>
        <v>15800</v>
      </c>
      <c r="BR180" s="24"/>
      <c r="BS180" s="24"/>
      <c r="BT180" s="27" t="s">
        <v>74</v>
      </c>
    </row>
    <row r="181" spans="1:72" s="1" customFormat="1" ht="24" customHeight="1">
      <c r="A181" s="16" t="s">
        <v>248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229</v>
      </c>
      <c r="N181" s="23"/>
      <c r="O181" s="23"/>
      <c r="P181" s="31" t="s">
        <v>353</v>
      </c>
      <c r="Q181" s="31"/>
      <c r="R181" s="31"/>
      <c r="S181" s="31"/>
      <c r="T181" s="31"/>
      <c r="U181" s="24">
        <f>30000</f>
        <v>30000</v>
      </c>
      <c r="V181" s="24"/>
      <c r="W181" s="24"/>
      <c r="X181" s="25" t="s">
        <v>74</v>
      </c>
      <c r="Y181" s="25"/>
      <c r="Z181" s="25"/>
      <c r="AA181" s="25"/>
      <c r="AB181" s="24">
        <f>30000</f>
        <v>30000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30000</f>
        <v>30000</v>
      </c>
      <c r="AX181" s="24"/>
      <c r="AY181" s="25" t="s">
        <v>74</v>
      </c>
      <c r="AZ181" s="25"/>
      <c r="BA181" s="24">
        <f>15800</f>
        <v>15800</v>
      </c>
      <c r="BB181" s="24"/>
      <c r="BC181" s="24"/>
      <c r="BD181" s="25" t="s">
        <v>74</v>
      </c>
      <c r="BE181" s="25"/>
      <c r="BF181" s="24">
        <f>15800</f>
        <v>15800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15800</f>
        <v>15800</v>
      </c>
      <c r="BR181" s="24"/>
      <c r="BS181" s="24"/>
      <c r="BT181" s="27" t="s">
        <v>74</v>
      </c>
    </row>
    <row r="182" spans="1:72" s="1" customFormat="1" ht="24" customHeight="1">
      <c r="A182" s="16" t="s">
        <v>250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229</v>
      </c>
      <c r="N182" s="23"/>
      <c r="O182" s="23"/>
      <c r="P182" s="31" t="s">
        <v>354</v>
      </c>
      <c r="Q182" s="31"/>
      <c r="R182" s="31"/>
      <c r="S182" s="31"/>
      <c r="T182" s="31"/>
      <c r="U182" s="24">
        <f>30000</f>
        <v>30000</v>
      </c>
      <c r="V182" s="24"/>
      <c r="W182" s="24"/>
      <c r="X182" s="25" t="s">
        <v>74</v>
      </c>
      <c r="Y182" s="25"/>
      <c r="Z182" s="25"/>
      <c r="AA182" s="25"/>
      <c r="AB182" s="24">
        <f>30000</f>
        <v>30000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30000</f>
        <v>30000</v>
      </c>
      <c r="AX182" s="24"/>
      <c r="AY182" s="25" t="s">
        <v>74</v>
      </c>
      <c r="AZ182" s="25"/>
      <c r="BA182" s="24">
        <f>15800</f>
        <v>15800</v>
      </c>
      <c r="BB182" s="24"/>
      <c r="BC182" s="24"/>
      <c r="BD182" s="25" t="s">
        <v>74</v>
      </c>
      <c r="BE182" s="25"/>
      <c r="BF182" s="24">
        <f>15800</f>
        <v>15800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15800</f>
        <v>15800</v>
      </c>
      <c r="BR182" s="24"/>
      <c r="BS182" s="24"/>
      <c r="BT182" s="27" t="s">
        <v>74</v>
      </c>
    </row>
    <row r="183" spans="1:72" s="1" customFormat="1" ht="13.5" customHeight="1">
      <c r="A183" s="16" t="s">
        <v>252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229</v>
      </c>
      <c r="N183" s="23"/>
      <c r="O183" s="23"/>
      <c r="P183" s="31" t="s">
        <v>355</v>
      </c>
      <c r="Q183" s="31"/>
      <c r="R183" s="31"/>
      <c r="S183" s="31"/>
      <c r="T183" s="31"/>
      <c r="U183" s="24">
        <f>30000</f>
        <v>30000</v>
      </c>
      <c r="V183" s="24"/>
      <c r="W183" s="24"/>
      <c r="X183" s="25" t="s">
        <v>74</v>
      </c>
      <c r="Y183" s="25"/>
      <c r="Z183" s="25"/>
      <c r="AA183" s="25"/>
      <c r="AB183" s="24">
        <f>30000</f>
        <v>30000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30000</f>
        <v>30000</v>
      </c>
      <c r="AX183" s="24"/>
      <c r="AY183" s="25" t="s">
        <v>74</v>
      </c>
      <c r="AZ183" s="25"/>
      <c r="BA183" s="24">
        <f>15800</f>
        <v>15800</v>
      </c>
      <c r="BB183" s="24"/>
      <c r="BC183" s="24"/>
      <c r="BD183" s="25" t="s">
        <v>74</v>
      </c>
      <c r="BE183" s="25"/>
      <c r="BF183" s="24">
        <f>15800</f>
        <v>15800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15800</f>
        <v>15800</v>
      </c>
      <c r="BR183" s="24"/>
      <c r="BS183" s="24"/>
      <c r="BT183" s="27" t="s">
        <v>74</v>
      </c>
    </row>
    <row r="184" spans="1:72" s="1" customFormat="1" ht="13.5" customHeight="1">
      <c r="A184" s="16" t="s">
        <v>356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229</v>
      </c>
      <c r="N184" s="23"/>
      <c r="O184" s="23"/>
      <c r="P184" s="31" t="s">
        <v>357</v>
      </c>
      <c r="Q184" s="31"/>
      <c r="R184" s="31"/>
      <c r="S184" s="31"/>
      <c r="T184" s="31"/>
      <c r="U184" s="24">
        <f>125500</f>
        <v>125500</v>
      </c>
      <c r="V184" s="24"/>
      <c r="W184" s="24"/>
      <c r="X184" s="25" t="s">
        <v>74</v>
      </c>
      <c r="Y184" s="25"/>
      <c r="Z184" s="25"/>
      <c r="AA184" s="25"/>
      <c r="AB184" s="24">
        <f>125500</f>
        <v>125500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125500</f>
        <v>125500</v>
      </c>
      <c r="AX184" s="24"/>
      <c r="AY184" s="25" t="s">
        <v>74</v>
      </c>
      <c r="AZ184" s="25"/>
      <c r="BA184" s="24">
        <f>55835</f>
        <v>55835</v>
      </c>
      <c r="BB184" s="24"/>
      <c r="BC184" s="24"/>
      <c r="BD184" s="25" t="s">
        <v>74</v>
      </c>
      <c r="BE184" s="25"/>
      <c r="BF184" s="24">
        <f>55835</f>
        <v>55835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55835</f>
        <v>55835</v>
      </c>
      <c r="BR184" s="24"/>
      <c r="BS184" s="24"/>
      <c r="BT184" s="27" t="s">
        <v>74</v>
      </c>
    </row>
    <row r="185" spans="1:72" s="1" customFormat="1" ht="24" customHeight="1">
      <c r="A185" s="16" t="s">
        <v>248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229</v>
      </c>
      <c r="N185" s="23"/>
      <c r="O185" s="23"/>
      <c r="P185" s="31" t="s">
        <v>358</v>
      </c>
      <c r="Q185" s="31"/>
      <c r="R185" s="31"/>
      <c r="S185" s="31"/>
      <c r="T185" s="31"/>
      <c r="U185" s="24">
        <f>125500</f>
        <v>125500</v>
      </c>
      <c r="V185" s="24"/>
      <c r="W185" s="24"/>
      <c r="X185" s="25" t="s">
        <v>74</v>
      </c>
      <c r="Y185" s="25"/>
      <c r="Z185" s="25"/>
      <c r="AA185" s="25"/>
      <c r="AB185" s="24">
        <f>125500</f>
        <v>125500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125500</f>
        <v>125500</v>
      </c>
      <c r="AX185" s="24"/>
      <c r="AY185" s="25" t="s">
        <v>74</v>
      </c>
      <c r="AZ185" s="25"/>
      <c r="BA185" s="24">
        <f>55835</f>
        <v>55835</v>
      </c>
      <c r="BB185" s="24"/>
      <c r="BC185" s="24"/>
      <c r="BD185" s="25" t="s">
        <v>74</v>
      </c>
      <c r="BE185" s="25"/>
      <c r="BF185" s="24">
        <f>55835</f>
        <v>55835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55835</f>
        <v>55835</v>
      </c>
      <c r="BR185" s="24"/>
      <c r="BS185" s="24"/>
      <c r="BT185" s="27" t="s">
        <v>74</v>
      </c>
    </row>
    <row r="186" spans="1:72" s="1" customFormat="1" ht="24" customHeight="1">
      <c r="A186" s="16" t="s">
        <v>250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229</v>
      </c>
      <c r="N186" s="23"/>
      <c r="O186" s="23"/>
      <c r="P186" s="31" t="s">
        <v>359</v>
      </c>
      <c r="Q186" s="31"/>
      <c r="R186" s="31"/>
      <c r="S186" s="31"/>
      <c r="T186" s="31"/>
      <c r="U186" s="24">
        <f>125500</f>
        <v>125500</v>
      </c>
      <c r="V186" s="24"/>
      <c r="W186" s="24"/>
      <c r="X186" s="25" t="s">
        <v>74</v>
      </c>
      <c r="Y186" s="25"/>
      <c r="Z186" s="25"/>
      <c r="AA186" s="25"/>
      <c r="AB186" s="24">
        <f>125500</f>
        <v>125500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125500</f>
        <v>125500</v>
      </c>
      <c r="AX186" s="24"/>
      <c r="AY186" s="25" t="s">
        <v>74</v>
      </c>
      <c r="AZ186" s="25"/>
      <c r="BA186" s="24">
        <f>55835</f>
        <v>55835</v>
      </c>
      <c r="BB186" s="24"/>
      <c r="BC186" s="24"/>
      <c r="BD186" s="25" t="s">
        <v>74</v>
      </c>
      <c r="BE186" s="25"/>
      <c r="BF186" s="24">
        <f>55835</f>
        <v>55835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55835</f>
        <v>55835</v>
      </c>
      <c r="BR186" s="24"/>
      <c r="BS186" s="24"/>
      <c r="BT186" s="27" t="s">
        <v>74</v>
      </c>
    </row>
    <row r="187" spans="1:72" s="1" customFormat="1" ht="13.5" customHeight="1">
      <c r="A187" s="16" t="s">
        <v>252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229</v>
      </c>
      <c r="N187" s="23"/>
      <c r="O187" s="23"/>
      <c r="P187" s="31" t="s">
        <v>360</v>
      </c>
      <c r="Q187" s="31"/>
      <c r="R187" s="31"/>
      <c r="S187" s="31"/>
      <c r="T187" s="31"/>
      <c r="U187" s="24">
        <f>125500</f>
        <v>125500</v>
      </c>
      <c r="V187" s="24"/>
      <c r="W187" s="24"/>
      <c r="X187" s="25" t="s">
        <v>74</v>
      </c>
      <c r="Y187" s="25"/>
      <c r="Z187" s="25"/>
      <c r="AA187" s="25"/>
      <c r="AB187" s="24">
        <f>125500</f>
        <v>125500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125500</f>
        <v>125500</v>
      </c>
      <c r="AX187" s="24"/>
      <c r="AY187" s="25" t="s">
        <v>74</v>
      </c>
      <c r="AZ187" s="25"/>
      <c r="BA187" s="24">
        <f>55835</f>
        <v>55835</v>
      </c>
      <c r="BB187" s="24"/>
      <c r="BC187" s="24"/>
      <c r="BD187" s="25" t="s">
        <v>74</v>
      </c>
      <c r="BE187" s="25"/>
      <c r="BF187" s="24">
        <f>55835</f>
        <v>55835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55835</f>
        <v>55835</v>
      </c>
      <c r="BR187" s="24"/>
      <c r="BS187" s="24"/>
      <c r="BT187" s="27" t="s">
        <v>74</v>
      </c>
    </row>
    <row r="188" spans="1:72" s="1" customFormat="1" ht="13.5" customHeight="1">
      <c r="A188" s="16" t="s">
        <v>361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229</v>
      </c>
      <c r="N188" s="23"/>
      <c r="O188" s="23"/>
      <c r="P188" s="31" t="s">
        <v>362</v>
      </c>
      <c r="Q188" s="31"/>
      <c r="R188" s="31"/>
      <c r="S188" s="31"/>
      <c r="T188" s="31"/>
      <c r="U188" s="24">
        <f>309881</f>
        <v>309881</v>
      </c>
      <c r="V188" s="24"/>
      <c r="W188" s="24"/>
      <c r="X188" s="25" t="s">
        <v>74</v>
      </c>
      <c r="Y188" s="25"/>
      <c r="Z188" s="25"/>
      <c r="AA188" s="25"/>
      <c r="AB188" s="24">
        <f>309881</f>
        <v>309881</v>
      </c>
      <c r="AC188" s="24"/>
      <c r="AD188" s="24"/>
      <c r="AE188" s="28">
        <f>49402</f>
        <v>49402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359283</f>
        <v>359283</v>
      </c>
      <c r="AX188" s="24"/>
      <c r="AY188" s="25" t="s">
        <v>74</v>
      </c>
      <c r="AZ188" s="25"/>
      <c r="BA188" s="24">
        <f>85000</f>
        <v>85000</v>
      </c>
      <c r="BB188" s="24"/>
      <c r="BC188" s="24"/>
      <c r="BD188" s="25" t="s">
        <v>74</v>
      </c>
      <c r="BE188" s="25"/>
      <c r="BF188" s="24">
        <f>85000</f>
        <v>85000</v>
      </c>
      <c r="BG188" s="24"/>
      <c r="BH188" s="28">
        <f>49402</f>
        <v>49402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134402</f>
        <v>134402</v>
      </c>
      <c r="BR188" s="24"/>
      <c r="BS188" s="24"/>
      <c r="BT188" s="27" t="s">
        <v>74</v>
      </c>
    </row>
    <row r="189" spans="1:72" s="1" customFormat="1" ht="13.5" customHeight="1">
      <c r="A189" s="16" t="s">
        <v>363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229</v>
      </c>
      <c r="N189" s="23"/>
      <c r="O189" s="23"/>
      <c r="P189" s="31" t="s">
        <v>364</v>
      </c>
      <c r="Q189" s="31"/>
      <c r="R189" s="31"/>
      <c r="S189" s="31"/>
      <c r="T189" s="31"/>
      <c r="U189" s="24">
        <f>309881</f>
        <v>309881</v>
      </c>
      <c r="V189" s="24"/>
      <c r="W189" s="24"/>
      <c r="X189" s="25" t="s">
        <v>74</v>
      </c>
      <c r="Y189" s="25"/>
      <c r="Z189" s="25"/>
      <c r="AA189" s="25"/>
      <c r="AB189" s="24">
        <f>309881</f>
        <v>309881</v>
      </c>
      <c r="AC189" s="24"/>
      <c r="AD189" s="24"/>
      <c r="AE189" s="28">
        <f>49402</f>
        <v>49402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359283</f>
        <v>359283</v>
      </c>
      <c r="AX189" s="24"/>
      <c r="AY189" s="25" t="s">
        <v>74</v>
      </c>
      <c r="AZ189" s="25"/>
      <c r="BA189" s="24">
        <f>85000</f>
        <v>85000</v>
      </c>
      <c r="BB189" s="24"/>
      <c r="BC189" s="24"/>
      <c r="BD189" s="25" t="s">
        <v>74</v>
      </c>
      <c r="BE189" s="25"/>
      <c r="BF189" s="24">
        <f>85000</f>
        <v>85000</v>
      </c>
      <c r="BG189" s="24"/>
      <c r="BH189" s="28">
        <f>49402</f>
        <v>49402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134402</f>
        <v>134402</v>
      </c>
      <c r="BR189" s="24"/>
      <c r="BS189" s="24"/>
      <c r="BT189" s="27" t="s">
        <v>74</v>
      </c>
    </row>
    <row r="190" spans="1:72" s="1" customFormat="1" ht="24" customHeight="1">
      <c r="A190" s="16" t="s">
        <v>248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229</v>
      </c>
      <c r="N190" s="23"/>
      <c r="O190" s="23"/>
      <c r="P190" s="31" t="s">
        <v>365</v>
      </c>
      <c r="Q190" s="31"/>
      <c r="R190" s="31"/>
      <c r="S190" s="31"/>
      <c r="T190" s="31"/>
      <c r="U190" s="24">
        <f>309881</f>
        <v>309881</v>
      </c>
      <c r="V190" s="24"/>
      <c r="W190" s="24"/>
      <c r="X190" s="25" t="s">
        <v>74</v>
      </c>
      <c r="Y190" s="25"/>
      <c r="Z190" s="25"/>
      <c r="AA190" s="25"/>
      <c r="AB190" s="24">
        <f>309881</f>
        <v>309881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309881</f>
        <v>309881</v>
      </c>
      <c r="AX190" s="24"/>
      <c r="AY190" s="25" t="s">
        <v>74</v>
      </c>
      <c r="AZ190" s="25"/>
      <c r="BA190" s="24">
        <f>85000</f>
        <v>85000</v>
      </c>
      <c r="BB190" s="24"/>
      <c r="BC190" s="24"/>
      <c r="BD190" s="25" t="s">
        <v>74</v>
      </c>
      <c r="BE190" s="25"/>
      <c r="BF190" s="24">
        <f>85000</f>
        <v>85000</v>
      </c>
      <c r="BG190" s="24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85000</f>
        <v>85000</v>
      </c>
      <c r="BR190" s="24"/>
      <c r="BS190" s="24"/>
      <c r="BT190" s="27" t="s">
        <v>74</v>
      </c>
    </row>
    <row r="191" spans="1:72" s="1" customFormat="1" ht="24" customHeight="1">
      <c r="A191" s="16" t="s">
        <v>250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229</v>
      </c>
      <c r="N191" s="23"/>
      <c r="O191" s="23"/>
      <c r="P191" s="31" t="s">
        <v>366</v>
      </c>
      <c r="Q191" s="31"/>
      <c r="R191" s="31"/>
      <c r="S191" s="31"/>
      <c r="T191" s="31"/>
      <c r="U191" s="24">
        <f>309881</f>
        <v>309881</v>
      </c>
      <c r="V191" s="24"/>
      <c r="W191" s="24"/>
      <c r="X191" s="25" t="s">
        <v>74</v>
      </c>
      <c r="Y191" s="25"/>
      <c r="Z191" s="25"/>
      <c r="AA191" s="25"/>
      <c r="AB191" s="24">
        <f>309881</f>
        <v>309881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309881</f>
        <v>309881</v>
      </c>
      <c r="AX191" s="24"/>
      <c r="AY191" s="25" t="s">
        <v>74</v>
      </c>
      <c r="AZ191" s="25"/>
      <c r="BA191" s="24">
        <f>85000</f>
        <v>85000</v>
      </c>
      <c r="BB191" s="24"/>
      <c r="BC191" s="24"/>
      <c r="BD191" s="25" t="s">
        <v>74</v>
      </c>
      <c r="BE191" s="25"/>
      <c r="BF191" s="24">
        <f>85000</f>
        <v>85000</v>
      </c>
      <c r="BG191" s="24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85000</f>
        <v>85000</v>
      </c>
      <c r="BR191" s="24"/>
      <c r="BS191" s="24"/>
      <c r="BT191" s="27" t="s">
        <v>74</v>
      </c>
    </row>
    <row r="192" spans="1:72" s="1" customFormat="1" ht="13.5" customHeight="1">
      <c r="A192" s="16" t="s">
        <v>252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229</v>
      </c>
      <c r="N192" s="23"/>
      <c r="O192" s="23"/>
      <c r="P192" s="31" t="s">
        <v>367</v>
      </c>
      <c r="Q192" s="31"/>
      <c r="R192" s="31"/>
      <c r="S192" s="31"/>
      <c r="T192" s="31"/>
      <c r="U192" s="24">
        <f>309881</f>
        <v>309881</v>
      </c>
      <c r="V192" s="24"/>
      <c r="W192" s="24"/>
      <c r="X192" s="25" t="s">
        <v>74</v>
      </c>
      <c r="Y192" s="25"/>
      <c r="Z192" s="25"/>
      <c r="AA192" s="25"/>
      <c r="AB192" s="24">
        <f>309881</f>
        <v>309881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309881</f>
        <v>309881</v>
      </c>
      <c r="AX192" s="24"/>
      <c r="AY192" s="25" t="s">
        <v>74</v>
      </c>
      <c r="AZ192" s="25"/>
      <c r="BA192" s="24">
        <f>85000</f>
        <v>85000</v>
      </c>
      <c r="BB192" s="24"/>
      <c r="BC192" s="24"/>
      <c r="BD192" s="25" t="s">
        <v>74</v>
      </c>
      <c r="BE192" s="25"/>
      <c r="BF192" s="24">
        <f>85000</f>
        <v>85000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85000</f>
        <v>85000</v>
      </c>
      <c r="BR192" s="24"/>
      <c r="BS192" s="24"/>
      <c r="BT192" s="27" t="s">
        <v>74</v>
      </c>
    </row>
    <row r="193" spans="1:72" s="1" customFormat="1" ht="13.5" customHeight="1">
      <c r="A193" s="16" t="s">
        <v>256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229</v>
      </c>
      <c r="N193" s="23"/>
      <c r="O193" s="23"/>
      <c r="P193" s="31" t="s">
        <v>368</v>
      </c>
      <c r="Q193" s="31"/>
      <c r="R193" s="31"/>
      <c r="S193" s="31"/>
      <c r="T193" s="31"/>
      <c r="U193" s="24">
        <f>0</f>
        <v>0</v>
      </c>
      <c r="V193" s="24"/>
      <c r="W193" s="24"/>
      <c r="X193" s="25" t="s">
        <v>74</v>
      </c>
      <c r="Y193" s="25"/>
      <c r="Z193" s="25"/>
      <c r="AA193" s="25"/>
      <c r="AB193" s="24">
        <f>0</f>
        <v>0</v>
      </c>
      <c r="AC193" s="24"/>
      <c r="AD193" s="24"/>
      <c r="AE193" s="28">
        <f>49402</f>
        <v>49402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49402</f>
        <v>49402</v>
      </c>
      <c r="AX193" s="24"/>
      <c r="AY193" s="25" t="s">
        <v>74</v>
      </c>
      <c r="AZ193" s="25"/>
      <c r="BA193" s="24">
        <f>0</f>
        <v>0</v>
      </c>
      <c r="BB193" s="24"/>
      <c r="BC193" s="24"/>
      <c r="BD193" s="25" t="s">
        <v>74</v>
      </c>
      <c r="BE193" s="25"/>
      <c r="BF193" s="24">
        <f>0</f>
        <v>0</v>
      </c>
      <c r="BG193" s="24"/>
      <c r="BH193" s="28">
        <f>49402</f>
        <v>49402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49402</f>
        <v>49402</v>
      </c>
      <c r="BR193" s="24"/>
      <c r="BS193" s="24"/>
      <c r="BT193" s="27" t="s">
        <v>74</v>
      </c>
    </row>
    <row r="194" spans="1:72" s="1" customFormat="1" ht="13.5" customHeight="1">
      <c r="A194" s="16" t="s">
        <v>216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229</v>
      </c>
      <c r="N194" s="23"/>
      <c r="O194" s="23"/>
      <c r="P194" s="31" t="s">
        <v>369</v>
      </c>
      <c r="Q194" s="31"/>
      <c r="R194" s="31"/>
      <c r="S194" s="31"/>
      <c r="T194" s="31"/>
      <c r="U194" s="24">
        <f>0</f>
        <v>0</v>
      </c>
      <c r="V194" s="24"/>
      <c r="W194" s="24"/>
      <c r="X194" s="25" t="s">
        <v>74</v>
      </c>
      <c r="Y194" s="25"/>
      <c r="Z194" s="25"/>
      <c r="AA194" s="25"/>
      <c r="AB194" s="24">
        <f>0</f>
        <v>0</v>
      </c>
      <c r="AC194" s="24"/>
      <c r="AD194" s="24"/>
      <c r="AE194" s="28">
        <f>49402</f>
        <v>49402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49402</f>
        <v>49402</v>
      </c>
      <c r="AX194" s="24"/>
      <c r="AY194" s="25" t="s">
        <v>74</v>
      </c>
      <c r="AZ194" s="25"/>
      <c r="BA194" s="24">
        <f>0</f>
        <v>0</v>
      </c>
      <c r="BB194" s="24"/>
      <c r="BC194" s="24"/>
      <c r="BD194" s="25" t="s">
        <v>74</v>
      </c>
      <c r="BE194" s="25"/>
      <c r="BF194" s="24">
        <f>0</f>
        <v>0</v>
      </c>
      <c r="BG194" s="24"/>
      <c r="BH194" s="28">
        <f>49402</f>
        <v>49402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49402</f>
        <v>49402</v>
      </c>
      <c r="BR194" s="24"/>
      <c r="BS194" s="24"/>
      <c r="BT194" s="27" t="s">
        <v>74</v>
      </c>
    </row>
    <row r="195" spans="1:72" s="1" customFormat="1" ht="13.5" customHeight="1">
      <c r="A195" s="16" t="s">
        <v>370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229</v>
      </c>
      <c r="N195" s="23"/>
      <c r="O195" s="23"/>
      <c r="P195" s="31" t="s">
        <v>371</v>
      </c>
      <c r="Q195" s="31"/>
      <c r="R195" s="31"/>
      <c r="S195" s="31"/>
      <c r="T195" s="31"/>
      <c r="U195" s="24">
        <f>761205</f>
        <v>761205</v>
      </c>
      <c r="V195" s="24"/>
      <c r="W195" s="24"/>
      <c r="X195" s="25" t="s">
        <v>74</v>
      </c>
      <c r="Y195" s="25"/>
      <c r="Z195" s="25"/>
      <c r="AA195" s="25"/>
      <c r="AB195" s="24">
        <f>761205</f>
        <v>761205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761205</f>
        <v>761205</v>
      </c>
      <c r="AX195" s="24"/>
      <c r="AY195" s="25" t="s">
        <v>74</v>
      </c>
      <c r="AZ195" s="25"/>
      <c r="BA195" s="24">
        <f>68457.04</f>
        <v>68457.04</v>
      </c>
      <c r="BB195" s="24"/>
      <c r="BC195" s="24"/>
      <c r="BD195" s="25" t="s">
        <v>74</v>
      </c>
      <c r="BE195" s="25"/>
      <c r="BF195" s="24">
        <f>68457.04</f>
        <v>68457.04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68457.04</f>
        <v>68457.04</v>
      </c>
      <c r="BR195" s="24"/>
      <c r="BS195" s="24"/>
      <c r="BT195" s="27" t="s">
        <v>74</v>
      </c>
    </row>
    <row r="196" spans="1:72" s="1" customFormat="1" ht="13.5" customHeight="1">
      <c r="A196" s="16" t="s">
        <v>372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229</v>
      </c>
      <c r="N196" s="23"/>
      <c r="O196" s="23"/>
      <c r="P196" s="31" t="s">
        <v>373</v>
      </c>
      <c r="Q196" s="31"/>
      <c r="R196" s="31"/>
      <c r="S196" s="31"/>
      <c r="T196" s="31"/>
      <c r="U196" s="24">
        <f>156513</f>
        <v>156513</v>
      </c>
      <c r="V196" s="24"/>
      <c r="W196" s="24"/>
      <c r="X196" s="25" t="s">
        <v>74</v>
      </c>
      <c r="Y196" s="25"/>
      <c r="Z196" s="25"/>
      <c r="AA196" s="25"/>
      <c r="AB196" s="24">
        <f>156513</f>
        <v>156513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156513</f>
        <v>156513</v>
      </c>
      <c r="AX196" s="24"/>
      <c r="AY196" s="25" t="s">
        <v>74</v>
      </c>
      <c r="AZ196" s="25"/>
      <c r="BA196" s="24">
        <f>67457.04</f>
        <v>67457.04</v>
      </c>
      <c r="BB196" s="24"/>
      <c r="BC196" s="24"/>
      <c r="BD196" s="25" t="s">
        <v>74</v>
      </c>
      <c r="BE196" s="25"/>
      <c r="BF196" s="24">
        <f>67457.04</f>
        <v>67457.04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67457.04</f>
        <v>67457.04</v>
      </c>
      <c r="BR196" s="24"/>
      <c r="BS196" s="24"/>
      <c r="BT196" s="27" t="s">
        <v>74</v>
      </c>
    </row>
    <row r="197" spans="1:72" s="1" customFormat="1" ht="13.5" customHeight="1">
      <c r="A197" s="16" t="s">
        <v>291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229</v>
      </c>
      <c r="N197" s="23"/>
      <c r="O197" s="23"/>
      <c r="P197" s="31" t="s">
        <v>374</v>
      </c>
      <c r="Q197" s="31"/>
      <c r="R197" s="31"/>
      <c r="S197" s="31"/>
      <c r="T197" s="31"/>
      <c r="U197" s="24">
        <f>156513</f>
        <v>156513</v>
      </c>
      <c r="V197" s="24"/>
      <c r="W197" s="24"/>
      <c r="X197" s="25" t="s">
        <v>74</v>
      </c>
      <c r="Y197" s="25"/>
      <c r="Z197" s="25"/>
      <c r="AA197" s="25"/>
      <c r="AB197" s="24">
        <f>156513</f>
        <v>156513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156513</f>
        <v>156513</v>
      </c>
      <c r="AX197" s="24"/>
      <c r="AY197" s="25" t="s">
        <v>74</v>
      </c>
      <c r="AZ197" s="25"/>
      <c r="BA197" s="24">
        <f>67457.04</f>
        <v>67457.04</v>
      </c>
      <c r="BB197" s="24"/>
      <c r="BC197" s="24"/>
      <c r="BD197" s="25" t="s">
        <v>74</v>
      </c>
      <c r="BE197" s="25"/>
      <c r="BF197" s="24">
        <f>67457.04</f>
        <v>67457.04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67457.04</f>
        <v>67457.04</v>
      </c>
      <c r="BR197" s="24"/>
      <c r="BS197" s="24"/>
      <c r="BT197" s="27" t="s">
        <v>74</v>
      </c>
    </row>
    <row r="198" spans="1:72" s="1" customFormat="1" ht="24" customHeight="1">
      <c r="A198" s="16" t="s">
        <v>375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229</v>
      </c>
      <c r="N198" s="23"/>
      <c r="O198" s="23"/>
      <c r="P198" s="31" t="s">
        <v>376</v>
      </c>
      <c r="Q198" s="31"/>
      <c r="R198" s="31"/>
      <c r="S198" s="31"/>
      <c r="T198" s="31"/>
      <c r="U198" s="24">
        <f>156513</f>
        <v>156513</v>
      </c>
      <c r="V198" s="24"/>
      <c r="W198" s="24"/>
      <c r="X198" s="25" t="s">
        <v>74</v>
      </c>
      <c r="Y198" s="25"/>
      <c r="Z198" s="25"/>
      <c r="AA198" s="25"/>
      <c r="AB198" s="24">
        <f>156513</f>
        <v>156513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156513</f>
        <v>156513</v>
      </c>
      <c r="AX198" s="24"/>
      <c r="AY198" s="25" t="s">
        <v>74</v>
      </c>
      <c r="AZ198" s="25"/>
      <c r="BA198" s="24">
        <f>67457.04</f>
        <v>67457.04</v>
      </c>
      <c r="BB198" s="24"/>
      <c r="BC198" s="24"/>
      <c r="BD198" s="25" t="s">
        <v>74</v>
      </c>
      <c r="BE198" s="25"/>
      <c r="BF198" s="24">
        <f>67457.04</f>
        <v>67457.04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67457.04</f>
        <v>67457.04</v>
      </c>
      <c r="BR198" s="24"/>
      <c r="BS198" s="24"/>
      <c r="BT198" s="27" t="s">
        <v>74</v>
      </c>
    </row>
    <row r="199" spans="1:72" s="1" customFormat="1" ht="13.5" customHeight="1">
      <c r="A199" s="16" t="s">
        <v>377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229</v>
      </c>
      <c r="N199" s="23"/>
      <c r="O199" s="23"/>
      <c r="P199" s="31" t="s">
        <v>378</v>
      </c>
      <c r="Q199" s="31"/>
      <c r="R199" s="31"/>
      <c r="S199" s="31"/>
      <c r="T199" s="31"/>
      <c r="U199" s="24">
        <f>156513</f>
        <v>156513</v>
      </c>
      <c r="V199" s="24"/>
      <c r="W199" s="24"/>
      <c r="X199" s="25" t="s">
        <v>74</v>
      </c>
      <c r="Y199" s="25"/>
      <c r="Z199" s="25"/>
      <c r="AA199" s="25"/>
      <c r="AB199" s="24">
        <f>156513</f>
        <v>156513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156513</f>
        <v>156513</v>
      </c>
      <c r="AX199" s="24"/>
      <c r="AY199" s="25" t="s">
        <v>74</v>
      </c>
      <c r="AZ199" s="25"/>
      <c r="BA199" s="24">
        <f>67457.04</f>
        <v>67457.04</v>
      </c>
      <c r="BB199" s="24"/>
      <c r="BC199" s="24"/>
      <c r="BD199" s="25" t="s">
        <v>74</v>
      </c>
      <c r="BE199" s="25"/>
      <c r="BF199" s="24">
        <f>67457.04</f>
        <v>67457.04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67457.04</f>
        <v>67457.04</v>
      </c>
      <c r="BR199" s="24"/>
      <c r="BS199" s="24"/>
      <c r="BT199" s="27" t="s">
        <v>74</v>
      </c>
    </row>
    <row r="200" spans="1:72" s="1" customFormat="1" ht="13.5" customHeight="1">
      <c r="A200" s="16" t="s">
        <v>379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229</v>
      </c>
      <c r="N200" s="23"/>
      <c r="O200" s="23"/>
      <c r="P200" s="31" t="s">
        <v>380</v>
      </c>
      <c r="Q200" s="31"/>
      <c r="R200" s="31"/>
      <c r="S200" s="31"/>
      <c r="T200" s="31"/>
      <c r="U200" s="24">
        <f>603692</f>
        <v>603692</v>
      </c>
      <c r="V200" s="24"/>
      <c r="W200" s="24"/>
      <c r="X200" s="25" t="s">
        <v>74</v>
      </c>
      <c r="Y200" s="25"/>
      <c r="Z200" s="25"/>
      <c r="AA200" s="25"/>
      <c r="AB200" s="24">
        <f>603692</f>
        <v>603692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603692</f>
        <v>603692</v>
      </c>
      <c r="AX200" s="24"/>
      <c r="AY200" s="25" t="s">
        <v>74</v>
      </c>
      <c r="AZ200" s="25"/>
      <c r="BA200" s="25" t="s">
        <v>74</v>
      </c>
      <c r="BB200" s="25"/>
      <c r="BC200" s="25"/>
      <c r="BD200" s="25" t="s">
        <v>74</v>
      </c>
      <c r="BE200" s="25"/>
      <c r="BF200" s="25" t="s">
        <v>74</v>
      </c>
      <c r="BG200" s="25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5" t="s">
        <v>74</v>
      </c>
      <c r="BR200" s="25"/>
      <c r="BS200" s="25"/>
      <c r="BT200" s="27" t="s">
        <v>74</v>
      </c>
    </row>
    <row r="201" spans="1:72" s="1" customFormat="1" ht="13.5" customHeight="1">
      <c r="A201" s="16" t="s">
        <v>291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229</v>
      </c>
      <c r="N201" s="23"/>
      <c r="O201" s="23"/>
      <c r="P201" s="31" t="s">
        <v>381</v>
      </c>
      <c r="Q201" s="31"/>
      <c r="R201" s="31"/>
      <c r="S201" s="31"/>
      <c r="T201" s="31"/>
      <c r="U201" s="24">
        <f>603692</f>
        <v>603692</v>
      </c>
      <c r="V201" s="24"/>
      <c r="W201" s="24"/>
      <c r="X201" s="25" t="s">
        <v>74</v>
      </c>
      <c r="Y201" s="25"/>
      <c r="Z201" s="25"/>
      <c r="AA201" s="25"/>
      <c r="AB201" s="24">
        <f>603692</f>
        <v>603692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603692</f>
        <v>603692</v>
      </c>
      <c r="AX201" s="24"/>
      <c r="AY201" s="25" t="s">
        <v>74</v>
      </c>
      <c r="AZ201" s="25"/>
      <c r="BA201" s="25" t="s">
        <v>74</v>
      </c>
      <c r="BB201" s="25"/>
      <c r="BC201" s="25"/>
      <c r="BD201" s="25" t="s">
        <v>74</v>
      </c>
      <c r="BE201" s="25"/>
      <c r="BF201" s="25" t="s">
        <v>74</v>
      </c>
      <c r="BG201" s="25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5" t="s">
        <v>74</v>
      </c>
      <c r="BR201" s="25"/>
      <c r="BS201" s="25"/>
      <c r="BT201" s="27" t="s">
        <v>74</v>
      </c>
    </row>
    <row r="202" spans="1:72" s="1" customFormat="1" ht="24" customHeight="1">
      <c r="A202" s="16" t="s">
        <v>293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229</v>
      </c>
      <c r="N202" s="23"/>
      <c r="O202" s="23"/>
      <c r="P202" s="31" t="s">
        <v>382</v>
      </c>
      <c r="Q202" s="31"/>
      <c r="R202" s="31"/>
      <c r="S202" s="31"/>
      <c r="T202" s="31"/>
      <c r="U202" s="24">
        <f>603692</f>
        <v>603692</v>
      </c>
      <c r="V202" s="24"/>
      <c r="W202" s="24"/>
      <c r="X202" s="25" t="s">
        <v>74</v>
      </c>
      <c r="Y202" s="25"/>
      <c r="Z202" s="25"/>
      <c r="AA202" s="25"/>
      <c r="AB202" s="24">
        <f>603692</f>
        <v>603692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603692</f>
        <v>603692</v>
      </c>
      <c r="AX202" s="24"/>
      <c r="AY202" s="25" t="s">
        <v>74</v>
      </c>
      <c r="AZ202" s="25"/>
      <c r="BA202" s="25" t="s">
        <v>74</v>
      </c>
      <c r="BB202" s="25"/>
      <c r="BC202" s="25"/>
      <c r="BD202" s="25" t="s">
        <v>74</v>
      </c>
      <c r="BE202" s="25"/>
      <c r="BF202" s="25" t="s">
        <v>74</v>
      </c>
      <c r="BG202" s="25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5" t="s">
        <v>74</v>
      </c>
      <c r="BR202" s="25"/>
      <c r="BS202" s="25"/>
      <c r="BT202" s="27" t="s">
        <v>74</v>
      </c>
    </row>
    <row r="203" spans="1:72" s="1" customFormat="1" ht="13.5" customHeight="1">
      <c r="A203" s="16" t="s">
        <v>383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229</v>
      </c>
      <c r="N203" s="23"/>
      <c r="O203" s="23"/>
      <c r="P203" s="31" t="s">
        <v>384</v>
      </c>
      <c r="Q203" s="31"/>
      <c r="R203" s="31"/>
      <c r="S203" s="31"/>
      <c r="T203" s="31"/>
      <c r="U203" s="24">
        <f>603692</f>
        <v>603692</v>
      </c>
      <c r="V203" s="24"/>
      <c r="W203" s="24"/>
      <c r="X203" s="25" t="s">
        <v>74</v>
      </c>
      <c r="Y203" s="25"/>
      <c r="Z203" s="25"/>
      <c r="AA203" s="25"/>
      <c r="AB203" s="24">
        <f>603692</f>
        <v>603692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603692</f>
        <v>603692</v>
      </c>
      <c r="AX203" s="24"/>
      <c r="AY203" s="25" t="s">
        <v>74</v>
      </c>
      <c r="AZ203" s="25"/>
      <c r="BA203" s="25" t="s">
        <v>74</v>
      </c>
      <c r="BB203" s="25"/>
      <c r="BC203" s="25"/>
      <c r="BD203" s="25" t="s">
        <v>74</v>
      </c>
      <c r="BE203" s="25"/>
      <c r="BF203" s="25" t="s">
        <v>74</v>
      </c>
      <c r="BG203" s="25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5" t="s">
        <v>74</v>
      </c>
      <c r="BR203" s="25"/>
      <c r="BS203" s="25"/>
      <c r="BT203" s="27" t="s">
        <v>74</v>
      </c>
    </row>
    <row r="204" spans="1:72" s="1" customFormat="1" ht="13.5" customHeight="1">
      <c r="A204" s="16" t="s">
        <v>385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229</v>
      </c>
      <c r="N204" s="23"/>
      <c r="O204" s="23"/>
      <c r="P204" s="31" t="s">
        <v>386</v>
      </c>
      <c r="Q204" s="31"/>
      <c r="R204" s="31"/>
      <c r="S204" s="31"/>
      <c r="T204" s="31"/>
      <c r="U204" s="24">
        <f>1000</f>
        <v>1000</v>
      </c>
      <c r="V204" s="24"/>
      <c r="W204" s="24"/>
      <c r="X204" s="25" t="s">
        <v>74</v>
      </c>
      <c r="Y204" s="25"/>
      <c r="Z204" s="25"/>
      <c r="AA204" s="25"/>
      <c r="AB204" s="24">
        <f>1000</f>
        <v>1000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1000</f>
        <v>1000</v>
      </c>
      <c r="AX204" s="24"/>
      <c r="AY204" s="25" t="s">
        <v>74</v>
      </c>
      <c r="AZ204" s="25"/>
      <c r="BA204" s="24">
        <f>1000</f>
        <v>1000</v>
      </c>
      <c r="BB204" s="24"/>
      <c r="BC204" s="24"/>
      <c r="BD204" s="25" t="s">
        <v>74</v>
      </c>
      <c r="BE204" s="25"/>
      <c r="BF204" s="24">
        <f>1000</f>
        <v>1000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1000</f>
        <v>1000</v>
      </c>
      <c r="BR204" s="24"/>
      <c r="BS204" s="24"/>
      <c r="BT204" s="27" t="s">
        <v>74</v>
      </c>
    </row>
    <row r="205" spans="1:72" s="1" customFormat="1" ht="13.5" customHeight="1">
      <c r="A205" s="16" t="s">
        <v>291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229</v>
      </c>
      <c r="N205" s="23"/>
      <c r="O205" s="23"/>
      <c r="P205" s="31" t="s">
        <v>387</v>
      </c>
      <c r="Q205" s="31"/>
      <c r="R205" s="31"/>
      <c r="S205" s="31"/>
      <c r="T205" s="31"/>
      <c r="U205" s="24">
        <f>1000</f>
        <v>1000</v>
      </c>
      <c r="V205" s="24"/>
      <c r="W205" s="24"/>
      <c r="X205" s="25" t="s">
        <v>74</v>
      </c>
      <c r="Y205" s="25"/>
      <c r="Z205" s="25"/>
      <c r="AA205" s="25"/>
      <c r="AB205" s="24">
        <f>1000</f>
        <v>1000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1000</f>
        <v>1000</v>
      </c>
      <c r="AX205" s="24"/>
      <c r="AY205" s="25" t="s">
        <v>74</v>
      </c>
      <c r="AZ205" s="25"/>
      <c r="BA205" s="24">
        <f>1000</f>
        <v>1000</v>
      </c>
      <c r="BB205" s="24"/>
      <c r="BC205" s="24"/>
      <c r="BD205" s="25" t="s">
        <v>74</v>
      </c>
      <c r="BE205" s="25"/>
      <c r="BF205" s="24">
        <f>1000</f>
        <v>1000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1000</f>
        <v>1000</v>
      </c>
      <c r="BR205" s="24"/>
      <c r="BS205" s="24"/>
      <c r="BT205" s="27" t="s">
        <v>74</v>
      </c>
    </row>
    <row r="206" spans="1:72" s="1" customFormat="1" ht="13.5" customHeight="1">
      <c r="A206" s="16" t="s">
        <v>388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229</v>
      </c>
      <c r="N206" s="23"/>
      <c r="O206" s="23"/>
      <c r="P206" s="31" t="s">
        <v>389</v>
      </c>
      <c r="Q206" s="31"/>
      <c r="R206" s="31"/>
      <c r="S206" s="31"/>
      <c r="T206" s="31"/>
      <c r="U206" s="24">
        <f>1000</f>
        <v>1000</v>
      </c>
      <c r="V206" s="24"/>
      <c r="W206" s="24"/>
      <c r="X206" s="25" t="s">
        <v>74</v>
      </c>
      <c r="Y206" s="25"/>
      <c r="Z206" s="25"/>
      <c r="AA206" s="25"/>
      <c r="AB206" s="24">
        <f>1000</f>
        <v>1000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1000</f>
        <v>1000</v>
      </c>
      <c r="AX206" s="24"/>
      <c r="AY206" s="25" t="s">
        <v>74</v>
      </c>
      <c r="AZ206" s="25"/>
      <c r="BA206" s="24">
        <f>1000</f>
        <v>1000</v>
      </c>
      <c r="BB206" s="24"/>
      <c r="BC206" s="24"/>
      <c r="BD206" s="25" t="s">
        <v>74</v>
      </c>
      <c r="BE206" s="25"/>
      <c r="BF206" s="24">
        <f>1000</f>
        <v>1000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1000</f>
        <v>1000</v>
      </c>
      <c r="BR206" s="24"/>
      <c r="BS206" s="24"/>
      <c r="BT206" s="27" t="s">
        <v>74</v>
      </c>
    </row>
    <row r="207" spans="1:72" s="1" customFormat="1" ht="13.5" customHeight="1">
      <c r="A207" s="16" t="s">
        <v>390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229</v>
      </c>
      <c r="N207" s="23"/>
      <c r="O207" s="23"/>
      <c r="P207" s="31" t="s">
        <v>391</v>
      </c>
      <c r="Q207" s="31"/>
      <c r="R207" s="31"/>
      <c r="S207" s="31"/>
      <c r="T207" s="31"/>
      <c r="U207" s="24">
        <f>1363235</f>
        <v>1363235</v>
      </c>
      <c r="V207" s="24"/>
      <c r="W207" s="24"/>
      <c r="X207" s="25" t="s">
        <v>74</v>
      </c>
      <c r="Y207" s="25"/>
      <c r="Z207" s="25"/>
      <c r="AA207" s="25"/>
      <c r="AB207" s="24">
        <f>1363235</f>
        <v>1363235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1363235</f>
        <v>1363235</v>
      </c>
      <c r="AX207" s="24"/>
      <c r="AY207" s="25" t="s">
        <v>74</v>
      </c>
      <c r="AZ207" s="25"/>
      <c r="BA207" s="24">
        <f>446685.52</f>
        <v>446685.52</v>
      </c>
      <c r="BB207" s="24"/>
      <c r="BC207" s="24"/>
      <c r="BD207" s="25" t="s">
        <v>74</v>
      </c>
      <c r="BE207" s="25"/>
      <c r="BF207" s="24">
        <f>446685.52</f>
        <v>446685.52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446685.52</f>
        <v>446685.52</v>
      </c>
      <c r="BR207" s="24"/>
      <c r="BS207" s="24"/>
      <c r="BT207" s="27" t="s">
        <v>74</v>
      </c>
    </row>
    <row r="208" spans="1:72" s="1" customFormat="1" ht="13.5" customHeight="1">
      <c r="A208" s="16" t="s">
        <v>392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229</v>
      </c>
      <c r="N208" s="23"/>
      <c r="O208" s="23"/>
      <c r="P208" s="31" t="s">
        <v>393</v>
      </c>
      <c r="Q208" s="31"/>
      <c r="R208" s="31"/>
      <c r="S208" s="31"/>
      <c r="T208" s="31"/>
      <c r="U208" s="24">
        <f>1063235</f>
        <v>1063235</v>
      </c>
      <c r="V208" s="24"/>
      <c r="W208" s="24"/>
      <c r="X208" s="25" t="s">
        <v>74</v>
      </c>
      <c r="Y208" s="25"/>
      <c r="Z208" s="25"/>
      <c r="AA208" s="25"/>
      <c r="AB208" s="24">
        <f>1063235</f>
        <v>1063235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1063235</f>
        <v>1063235</v>
      </c>
      <c r="AX208" s="24"/>
      <c r="AY208" s="25" t="s">
        <v>74</v>
      </c>
      <c r="AZ208" s="25"/>
      <c r="BA208" s="24">
        <f>445847.1</f>
        <v>445847.1</v>
      </c>
      <c r="BB208" s="24"/>
      <c r="BC208" s="24"/>
      <c r="BD208" s="25" t="s">
        <v>74</v>
      </c>
      <c r="BE208" s="25"/>
      <c r="BF208" s="24">
        <f>445847.1</f>
        <v>445847.1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445847.1</f>
        <v>445847.1</v>
      </c>
      <c r="BR208" s="24"/>
      <c r="BS208" s="24"/>
      <c r="BT208" s="27" t="s">
        <v>74</v>
      </c>
    </row>
    <row r="209" spans="1:72" s="1" customFormat="1" ht="54.75" customHeight="1">
      <c r="A209" s="16" t="s">
        <v>234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229</v>
      </c>
      <c r="N209" s="23"/>
      <c r="O209" s="23"/>
      <c r="P209" s="31" t="s">
        <v>394</v>
      </c>
      <c r="Q209" s="31"/>
      <c r="R209" s="31"/>
      <c r="S209" s="31"/>
      <c r="T209" s="31"/>
      <c r="U209" s="24">
        <f>675235</f>
        <v>675235</v>
      </c>
      <c r="V209" s="24"/>
      <c r="W209" s="24"/>
      <c r="X209" s="25" t="s">
        <v>74</v>
      </c>
      <c r="Y209" s="25"/>
      <c r="Z209" s="25"/>
      <c r="AA209" s="25"/>
      <c r="AB209" s="24">
        <f>675235</f>
        <v>675235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675235</f>
        <v>675235</v>
      </c>
      <c r="AX209" s="24"/>
      <c r="AY209" s="25" t="s">
        <v>74</v>
      </c>
      <c r="AZ209" s="25"/>
      <c r="BA209" s="24">
        <f>318062.21</f>
        <v>318062.21</v>
      </c>
      <c r="BB209" s="24"/>
      <c r="BC209" s="24"/>
      <c r="BD209" s="25" t="s">
        <v>74</v>
      </c>
      <c r="BE209" s="25"/>
      <c r="BF209" s="24">
        <f>318062.21</f>
        <v>318062.21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318062.21</f>
        <v>318062.21</v>
      </c>
      <c r="BR209" s="24"/>
      <c r="BS209" s="24"/>
      <c r="BT209" s="27" t="s">
        <v>74</v>
      </c>
    </row>
    <row r="210" spans="1:72" s="1" customFormat="1" ht="13.5" customHeight="1">
      <c r="A210" s="16" t="s">
        <v>281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229</v>
      </c>
      <c r="N210" s="23"/>
      <c r="O210" s="23"/>
      <c r="P210" s="31" t="s">
        <v>395</v>
      </c>
      <c r="Q210" s="31"/>
      <c r="R210" s="31"/>
      <c r="S210" s="31"/>
      <c r="T210" s="31"/>
      <c r="U210" s="24">
        <f>675235</f>
        <v>675235</v>
      </c>
      <c r="V210" s="24"/>
      <c r="W210" s="24"/>
      <c r="X210" s="25" t="s">
        <v>74</v>
      </c>
      <c r="Y210" s="25"/>
      <c r="Z210" s="25"/>
      <c r="AA210" s="25"/>
      <c r="AB210" s="24">
        <f>675235</f>
        <v>675235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675235</f>
        <v>675235</v>
      </c>
      <c r="AX210" s="24"/>
      <c r="AY210" s="25" t="s">
        <v>74</v>
      </c>
      <c r="AZ210" s="25"/>
      <c r="BA210" s="24">
        <f>318062.21</f>
        <v>318062.21</v>
      </c>
      <c r="BB210" s="24"/>
      <c r="BC210" s="24"/>
      <c r="BD210" s="25" t="s">
        <v>74</v>
      </c>
      <c r="BE210" s="25"/>
      <c r="BF210" s="24">
        <f>318062.21</f>
        <v>318062.21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318062.21</f>
        <v>318062.21</v>
      </c>
      <c r="BR210" s="24"/>
      <c r="BS210" s="24"/>
      <c r="BT210" s="27" t="s">
        <v>74</v>
      </c>
    </row>
    <row r="211" spans="1:72" s="1" customFormat="1" ht="13.5" customHeight="1">
      <c r="A211" s="16" t="s">
        <v>283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229</v>
      </c>
      <c r="N211" s="23"/>
      <c r="O211" s="23"/>
      <c r="P211" s="31" t="s">
        <v>396</v>
      </c>
      <c r="Q211" s="31"/>
      <c r="R211" s="31"/>
      <c r="S211" s="31"/>
      <c r="T211" s="31"/>
      <c r="U211" s="24">
        <f>518614</f>
        <v>518614</v>
      </c>
      <c r="V211" s="24"/>
      <c r="W211" s="24"/>
      <c r="X211" s="25" t="s">
        <v>74</v>
      </c>
      <c r="Y211" s="25"/>
      <c r="Z211" s="25"/>
      <c r="AA211" s="25"/>
      <c r="AB211" s="24">
        <f>518614</f>
        <v>518614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518614</f>
        <v>518614</v>
      </c>
      <c r="AX211" s="24"/>
      <c r="AY211" s="25" t="s">
        <v>74</v>
      </c>
      <c r="AZ211" s="25"/>
      <c r="BA211" s="24">
        <f>247179.35</f>
        <v>247179.35</v>
      </c>
      <c r="BB211" s="24"/>
      <c r="BC211" s="24"/>
      <c r="BD211" s="25" t="s">
        <v>74</v>
      </c>
      <c r="BE211" s="25"/>
      <c r="BF211" s="24">
        <f>247179.35</f>
        <v>247179.35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247179.35</f>
        <v>247179.35</v>
      </c>
      <c r="BR211" s="24"/>
      <c r="BS211" s="24"/>
      <c r="BT211" s="27" t="s">
        <v>74</v>
      </c>
    </row>
    <row r="212" spans="1:72" s="1" customFormat="1" ht="33.75" customHeight="1">
      <c r="A212" s="16" t="s">
        <v>285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229</v>
      </c>
      <c r="N212" s="23"/>
      <c r="O212" s="23"/>
      <c r="P212" s="31" t="s">
        <v>397</v>
      </c>
      <c r="Q212" s="31"/>
      <c r="R212" s="31"/>
      <c r="S212" s="31"/>
      <c r="T212" s="31"/>
      <c r="U212" s="24">
        <f>156621</f>
        <v>156621</v>
      </c>
      <c r="V212" s="24"/>
      <c r="W212" s="24"/>
      <c r="X212" s="25" t="s">
        <v>74</v>
      </c>
      <c r="Y212" s="25"/>
      <c r="Z212" s="25"/>
      <c r="AA212" s="25"/>
      <c r="AB212" s="24">
        <f>156621</f>
        <v>156621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156621</f>
        <v>156621</v>
      </c>
      <c r="AX212" s="24"/>
      <c r="AY212" s="25" t="s">
        <v>74</v>
      </c>
      <c r="AZ212" s="25"/>
      <c r="BA212" s="24">
        <f>70882.86</f>
        <v>70882.86</v>
      </c>
      <c r="BB212" s="24"/>
      <c r="BC212" s="24"/>
      <c r="BD212" s="25" t="s">
        <v>74</v>
      </c>
      <c r="BE212" s="25"/>
      <c r="BF212" s="24">
        <f>70882.86</f>
        <v>70882.86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70882.86</f>
        <v>70882.86</v>
      </c>
      <c r="BR212" s="24"/>
      <c r="BS212" s="24"/>
      <c r="BT212" s="27" t="s">
        <v>74</v>
      </c>
    </row>
    <row r="213" spans="1:72" s="1" customFormat="1" ht="24" customHeight="1">
      <c r="A213" s="16" t="s">
        <v>248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229</v>
      </c>
      <c r="N213" s="23"/>
      <c r="O213" s="23"/>
      <c r="P213" s="31" t="s">
        <v>398</v>
      </c>
      <c r="Q213" s="31"/>
      <c r="R213" s="31"/>
      <c r="S213" s="31"/>
      <c r="T213" s="31"/>
      <c r="U213" s="24">
        <f>192000</f>
        <v>192000</v>
      </c>
      <c r="V213" s="24"/>
      <c r="W213" s="24"/>
      <c r="X213" s="25" t="s">
        <v>74</v>
      </c>
      <c r="Y213" s="25"/>
      <c r="Z213" s="25"/>
      <c r="AA213" s="25"/>
      <c r="AB213" s="24">
        <f>192000</f>
        <v>192000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192000</f>
        <v>192000</v>
      </c>
      <c r="AX213" s="24"/>
      <c r="AY213" s="25" t="s">
        <v>74</v>
      </c>
      <c r="AZ213" s="25"/>
      <c r="BA213" s="24">
        <f>63935.2</f>
        <v>63935.2</v>
      </c>
      <c r="BB213" s="24"/>
      <c r="BC213" s="24"/>
      <c r="BD213" s="25" t="s">
        <v>74</v>
      </c>
      <c r="BE213" s="25"/>
      <c r="BF213" s="24">
        <f>63935.2</f>
        <v>63935.2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63935.2</f>
        <v>63935.2</v>
      </c>
      <c r="BR213" s="24"/>
      <c r="BS213" s="24"/>
      <c r="BT213" s="27" t="s">
        <v>74</v>
      </c>
    </row>
    <row r="214" spans="1:72" s="1" customFormat="1" ht="24" customHeight="1">
      <c r="A214" s="16" t="s">
        <v>250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229</v>
      </c>
      <c r="N214" s="23"/>
      <c r="O214" s="23"/>
      <c r="P214" s="31" t="s">
        <v>399</v>
      </c>
      <c r="Q214" s="31"/>
      <c r="R214" s="31"/>
      <c r="S214" s="31"/>
      <c r="T214" s="31"/>
      <c r="U214" s="24">
        <f>192000</f>
        <v>192000</v>
      </c>
      <c r="V214" s="24"/>
      <c r="W214" s="24"/>
      <c r="X214" s="25" t="s">
        <v>74</v>
      </c>
      <c r="Y214" s="25"/>
      <c r="Z214" s="25"/>
      <c r="AA214" s="25"/>
      <c r="AB214" s="24">
        <f>192000</f>
        <v>192000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192000</f>
        <v>192000</v>
      </c>
      <c r="AX214" s="24"/>
      <c r="AY214" s="25" t="s">
        <v>74</v>
      </c>
      <c r="AZ214" s="25"/>
      <c r="BA214" s="24">
        <f>63935.2</f>
        <v>63935.2</v>
      </c>
      <c r="BB214" s="24"/>
      <c r="BC214" s="24"/>
      <c r="BD214" s="25" t="s">
        <v>74</v>
      </c>
      <c r="BE214" s="25"/>
      <c r="BF214" s="24">
        <f>63935.2</f>
        <v>63935.2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63935.2</f>
        <v>63935.2</v>
      </c>
      <c r="BR214" s="24"/>
      <c r="BS214" s="24"/>
      <c r="BT214" s="27" t="s">
        <v>74</v>
      </c>
    </row>
    <row r="215" spans="1:72" s="1" customFormat="1" ht="13.5" customHeight="1">
      <c r="A215" s="16" t="s">
        <v>252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229</v>
      </c>
      <c r="N215" s="23"/>
      <c r="O215" s="23"/>
      <c r="P215" s="31" t="s">
        <v>400</v>
      </c>
      <c r="Q215" s="31"/>
      <c r="R215" s="31"/>
      <c r="S215" s="31"/>
      <c r="T215" s="31"/>
      <c r="U215" s="24">
        <f>192000</f>
        <v>192000</v>
      </c>
      <c r="V215" s="24"/>
      <c r="W215" s="24"/>
      <c r="X215" s="25" t="s">
        <v>74</v>
      </c>
      <c r="Y215" s="25"/>
      <c r="Z215" s="25"/>
      <c r="AA215" s="25"/>
      <c r="AB215" s="24">
        <f>192000</f>
        <v>192000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192000</f>
        <v>192000</v>
      </c>
      <c r="AX215" s="24"/>
      <c r="AY215" s="25" t="s">
        <v>74</v>
      </c>
      <c r="AZ215" s="25"/>
      <c r="BA215" s="24">
        <f>63935.2</f>
        <v>63935.2</v>
      </c>
      <c r="BB215" s="24"/>
      <c r="BC215" s="24"/>
      <c r="BD215" s="25" t="s">
        <v>74</v>
      </c>
      <c r="BE215" s="25"/>
      <c r="BF215" s="24">
        <f>63935.2</f>
        <v>63935.2</v>
      </c>
      <c r="BG215" s="24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63935.2</f>
        <v>63935.2</v>
      </c>
      <c r="BR215" s="24"/>
      <c r="BS215" s="24"/>
      <c r="BT215" s="27" t="s">
        <v>74</v>
      </c>
    </row>
    <row r="216" spans="1:72" s="1" customFormat="1" ht="13.5" customHeight="1">
      <c r="A216" s="16" t="s">
        <v>259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229</v>
      </c>
      <c r="N216" s="23"/>
      <c r="O216" s="23"/>
      <c r="P216" s="31" t="s">
        <v>401</v>
      </c>
      <c r="Q216" s="31"/>
      <c r="R216" s="31"/>
      <c r="S216" s="31"/>
      <c r="T216" s="31"/>
      <c r="U216" s="24">
        <f>196000</f>
        <v>196000</v>
      </c>
      <c r="V216" s="24"/>
      <c r="W216" s="24"/>
      <c r="X216" s="25" t="s">
        <v>74</v>
      </c>
      <c r="Y216" s="25"/>
      <c r="Z216" s="25"/>
      <c r="AA216" s="25"/>
      <c r="AB216" s="24">
        <f>196000</f>
        <v>196000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196000</f>
        <v>196000</v>
      </c>
      <c r="AX216" s="24"/>
      <c r="AY216" s="25" t="s">
        <v>74</v>
      </c>
      <c r="AZ216" s="25"/>
      <c r="BA216" s="24">
        <f>63849.69</f>
        <v>63849.69</v>
      </c>
      <c r="BB216" s="24"/>
      <c r="BC216" s="24"/>
      <c r="BD216" s="25" t="s">
        <v>74</v>
      </c>
      <c r="BE216" s="25"/>
      <c r="BF216" s="24">
        <f>63849.69</f>
        <v>63849.69</v>
      </c>
      <c r="BG216" s="24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63849.69</f>
        <v>63849.69</v>
      </c>
      <c r="BR216" s="24"/>
      <c r="BS216" s="24"/>
      <c r="BT216" s="27" t="s">
        <v>74</v>
      </c>
    </row>
    <row r="217" spans="1:72" s="1" customFormat="1" ht="13.5" customHeight="1">
      <c r="A217" s="16" t="s">
        <v>261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229</v>
      </c>
      <c r="N217" s="23"/>
      <c r="O217" s="23"/>
      <c r="P217" s="31" t="s">
        <v>402</v>
      </c>
      <c r="Q217" s="31"/>
      <c r="R217" s="31"/>
      <c r="S217" s="31"/>
      <c r="T217" s="31"/>
      <c r="U217" s="24">
        <f>196000</f>
        <v>196000</v>
      </c>
      <c r="V217" s="24"/>
      <c r="W217" s="24"/>
      <c r="X217" s="25" t="s">
        <v>74</v>
      </c>
      <c r="Y217" s="25"/>
      <c r="Z217" s="25"/>
      <c r="AA217" s="25"/>
      <c r="AB217" s="24">
        <f>196000</f>
        <v>196000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196000</f>
        <v>196000</v>
      </c>
      <c r="AX217" s="24"/>
      <c r="AY217" s="25" t="s">
        <v>74</v>
      </c>
      <c r="AZ217" s="25"/>
      <c r="BA217" s="24">
        <f>63849.69</f>
        <v>63849.69</v>
      </c>
      <c r="BB217" s="24"/>
      <c r="BC217" s="24"/>
      <c r="BD217" s="25" t="s">
        <v>74</v>
      </c>
      <c r="BE217" s="25"/>
      <c r="BF217" s="24">
        <f>63849.69</f>
        <v>63849.69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63849.69</f>
        <v>63849.69</v>
      </c>
      <c r="BR217" s="24"/>
      <c r="BS217" s="24"/>
      <c r="BT217" s="27" t="s">
        <v>74</v>
      </c>
    </row>
    <row r="218" spans="1:72" s="1" customFormat="1" ht="24" customHeight="1">
      <c r="A218" s="16" t="s">
        <v>263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229</v>
      </c>
      <c r="N218" s="23"/>
      <c r="O218" s="23"/>
      <c r="P218" s="31" t="s">
        <v>403</v>
      </c>
      <c r="Q218" s="31"/>
      <c r="R218" s="31"/>
      <c r="S218" s="31"/>
      <c r="T218" s="31"/>
      <c r="U218" s="24">
        <f>194500</f>
        <v>194500</v>
      </c>
      <c r="V218" s="24"/>
      <c r="W218" s="24"/>
      <c r="X218" s="25" t="s">
        <v>74</v>
      </c>
      <c r="Y218" s="25"/>
      <c r="Z218" s="25"/>
      <c r="AA218" s="25"/>
      <c r="AB218" s="24">
        <f>194500</f>
        <v>194500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194500</f>
        <v>194500</v>
      </c>
      <c r="AX218" s="24"/>
      <c r="AY218" s="25" t="s">
        <v>74</v>
      </c>
      <c r="AZ218" s="25"/>
      <c r="BA218" s="24">
        <f>63349.69</f>
        <v>63349.69</v>
      </c>
      <c r="BB218" s="24"/>
      <c r="BC218" s="24"/>
      <c r="BD218" s="25" t="s">
        <v>74</v>
      </c>
      <c r="BE218" s="25"/>
      <c r="BF218" s="24">
        <f>63349.69</f>
        <v>63349.69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63349.69</f>
        <v>63349.69</v>
      </c>
      <c r="BR218" s="24"/>
      <c r="BS218" s="24"/>
      <c r="BT218" s="27" t="s">
        <v>74</v>
      </c>
    </row>
    <row r="219" spans="1:72" s="1" customFormat="1" ht="13.5" customHeight="1">
      <c r="A219" s="16" t="s">
        <v>265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229</v>
      </c>
      <c r="N219" s="23"/>
      <c r="O219" s="23"/>
      <c r="P219" s="31" t="s">
        <v>404</v>
      </c>
      <c r="Q219" s="31"/>
      <c r="R219" s="31"/>
      <c r="S219" s="31"/>
      <c r="T219" s="31"/>
      <c r="U219" s="24">
        <f>1000</f>
        <v>1000</v>
      </c>
      <c r="V219" s="24"/>
      <c r="W219" s="24"/>
      <c r="X219" s="25" t="s">
        <v>74</v>
      </c>
      <c r="Y219" s="25"/>
      <c r="Z219" s="25"/>
      <c r="AA219" s="25"/>
      <c r="AB219" s="24">
        <f>1000</f>
        <v>1000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1000</f>
        <v>1000</v>
      </c>
      <c r="AX219" s="24"/>
      <c r="AY219" s="25" t="s">
        <v>74</v>
      </c>
      <c r="AZ219" s="25"/>
      <c r="BA219" s="25" t="s">
        <v>74</v>
      </c>
      <c r="BB219" s="25"/>
      <c r="BC219" s="25"/>
      <c r="BD219" s="25" t="s">
        <v>74</v>
      </c>
      <c r="BE219" s="25"/>
      <c r="BF219" s="25" t="s">
        <v>74</v>
      </c>
      <c r="BG219" s="25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5" t="s">
        <v>74</v>
      </c>
      <c r="BR219" s="25"/>
      <c r="BS219" s="25"/>
      <c r="BT219" s="27" t="s">
        <v>74</v>
      </c>
    </row>
    <row r="220" spans="1:72" s="1" customFormat="1" ht="13.5" customHeight="1">
      <c r="A220" s="16" t="s">
        <v>267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229</v>
      </c>
      <c r="N220" s="23"/>
      <c r="O220" s="23"/>
      <c r="P220" s="31" t="s">
        <v>405</v>
      </c>
      <c r="Q220" s="31"/>
      <c r="R220" s="31"/>
      <c r="S220" s="31"/>
      <c r="T220" s="31"/>
      <c r="U220" s="24">
        <f>500</f>
        <v>500</v>
      </c>
      <c r="V220" s="24"/>
      <c r="W220" s="24"/>
      <c r="X220" s="25" t="s">
        <v>74</v>
      </c>
      <c r="Y220" s="25"/>
      <c r="Z220" s="25"/>
      <c r="AA220" s="25"/>
      <c r="AB220" s="24">
        <f>500</f>
        <v>500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500</f>
        <v>500</v>
      </c>
      <c r="AX220" s="24"/>
      <c r="AY220" s="25" t="s">
        <v>74</v>
      </c>
      <c r="AZ220" s="25"/>
      <c r="BA220" s="24">
        <f>500</f>
        <v>500</v>
      </c>
      <c r="BB220" s="24"/>
      <c r="BC220" s="24"/>
      <c r="BD220" s="25" t="s">
        <v>74</v>
      </c>
      <c r="BE220" s="25"/>
      <c r="BF220" s="24">
        <f>500</f>
        <v>500</v>
      </c>
      <c r="BG220" s="24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4">
        <f>500</f>
        <v>500</v>
      </c>
      <c r="BR220" s="24"/>
      <c r="BS220" s="24"/>
      <c r="BT220" s="27" t="s">
        <v>74</v>
      </c>
    </row>
    <row r="221" spans="1:72" s="1" customFormat="1" ht="13.5" customHeight="1">
      <c r="A221" s="16" t="s">
        <v>406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229</v>
      </c>
      <c r="N221" s="23"/>
      <c r="O221" s="23"/>
      <c r="P221" s="31" t="s">
        <v>407</v>
      </c>
      <c r="Q221" s="31"/>
      <c r="R221" s="31"/>
      <c r="S221" s="31"/>
      <c r="T221" s="31"/>
      <c r="U221" s="24">
        <f>300000</f>
        <v>300000</v>
      </c>
      <c r="V221" s="24"/>
      <c r="W221" s="24"/>
      <c r="X221" s="25" t="s">
        <v>74</v>
      </c>
      <c r="Y221" s="25"/>
      <c r="Z221" s="25"/>
      <c r="AA221" s="25"/>
      <c r="AB221" s="24">
        <f>300000</f>
        <v>300000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300000</f>
        <v>300000</v>
      </c>
      <c r="AX221" s="24"/>
      <c r="AY221" s="25" t="s">
        <v>74</v>
      </c>
      <c r="AZ221" s="25"/>
      <c r="BA221" s="24">
        <f>838.42</f>
        <v>838.42</v>
      </c>
      <c r="BB221" s="24"/>
      <c r="BC221" s="24"/>
      <c r="BD221" s="25" t="s">
        <v>74</v>
      </c>
      <c r="BE221" s="25"/>
      <c r="BF221" s="24">
        <f>838.42</f>
        <v>838.42</v>
      </c>
      <c r="BG221" s="24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838.42</f>
        <v>838.42</v>
      </c>
      <c r="BR221" s="24"/>
      <c r="BS221" s="24"/>
      <c r="BT221" s="27" t="s">
        <v>74</v>
      </c>
    </row>
    <row r="222" spans="1:72" s="1" customFormat="1" ht="24" customHeight="1">
      <c r="A222" s="16" t="s">
        <v>248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229</v>
      </c>
      <c r="N222" s="23"/>
      <c r="O222" s="23"/>
      <c r="P222" s="31" t="s">
        <v>408</v>
      </c>
      <c r="Q222" s="31"/>
      <c r="R222" s="31"/>
      <c r="S222" s="31"/>
      <c r="T222" s="31"/>
      <c r="U222" s="24">
        <f>300000</f>
        <v>300000</v>
      </c>
      <c r="V222" s="24"/>
      <c r="W222" s="24"/>
      <c r="X222" s="25" t="s">
        <v>74</v>
      </c>
      <c r="Y222" s="25"/>
      <c r="Z222" s="25"/>
      <c r="AA222" s="25"/>
      <c r="AB222" s="24">
        <f>300000</f>
        <v>300000</v>
      </c>
      <c r="AC222" s="24"/>
      <c r="AD222" s="24"/>
      <c r="AE222" s="26" t="s">
        <v>74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4">
        <f>300000</f>
        <v>300000</v>
      </c>
      <c r="AX222" s="24"/>
      <c r="AY222" s="25" t="s">
        <v>74</v>
      </c>
      <c r="AZ222" s="25"/>
      <c r="BA222" s="24">
        <f>838.42</f>
        <v>838.42</v>
      </c>
      <c r="BB222" s="24"/>
      <c r="BC222" s="24"/>
      <c r="BD222" s="25" t="s">
        <v>74</v>
      </c>
      <c r="BE222" s="25"/>
      <c r="BF222" s="24">
        <f>838.42</f>
        <v>838.42</v>
      </c>
      <c r="BG222" s="24"/>
      <c r="BH222" s="26" t="s">
        <v>74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4">
        <f>838.42</f>
        <v>838.42</v>
      </c>
      <c r="BR222" s="24"/>
      <c r="BS222" s="24"/>
      <c r="BT222" s="27" t="s">
        <v>74</v>
      </c>
    </row>
    <row r="223" spans="1:72" s="1" customFormat="1" ht="24" customHeight="1">
      <c r="A223" s="16" t="s">
        <v>250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229</v>
      </c>
      <c r="N223" s="23"/>
      <c r="O223" s="23"/>
      <c r="P223" s="31" t="s">
        <v>409</v>
      </c>
      <c r="Q223" s="31"/>
      <c r="R223" s="31"/>
      <c r="S223" s="31"/>
      <c r="T223" s="31"/>
      <c r="U223" s="24">
        <f>300000</f>
        <v>300000</v>
      </c>
      <c r="V223" s="24"/>
      <c r="W223" s="24"/>
      <c r="X223" s="25" t="s">
        <v>74</v>
      </c>
      <c r="Y223" s="25"/>
      <c r="Z223" s="25"/>
      <c r="AA223" s="25"/>
      <c r="AB223" s="24">
        <f>300000</f>
        <v>300000</v>
      </c>
      <c r="AC223" s="24"/>
      <c r="AD223" s="24"/>
      <c r="AE223" s="26" t="s">
        <v>74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300000</f>
        <v>300000</v>
      </c>
      <c r="AX223" s="24"/>
      <c r="AY223" s="25" t="s">
        <v>74</v>
      </c>
      <c r="AZ223" s="25"/>
      <c r="BA223" s="24">
        <f>838.42</f>
        <v>838.42</v>
      </c>
      <c r="BB223" s="24"/>
      <c r="BC223" s="24"/>
      <c r="BD223" s="25" t="s">
        <v>74</v>
      </c>
      <c r="BE223" s="25"/>
      <c r="BF223" s="24">
        <f>838.42</f>
        <v>838.42</v>
      </c>
      <c r="BG223" s="24"/>
      <c r="BH223" s="26" t="s">
        <v>74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838.42</f>
        <v>838.42</v>
      </c>
      <c r="BR223" s="24"/>
      <c r="BS223" s="24"/>
      <c r="BT223" s="27" t="s">
        <v>74</v>
      </c>
    </row>
    <row r="224" spans="1:72" s="1" customFormat="1" ht="13.5" customHeight="1">
      <c r="A224" s="16" t="s">
        <v>252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229</v>
      </c>
      <c r="N224" s="23"/>
      <c r="O224" s="23"/>
      <c r="P224" s="31" t="s">
        <v>410</v>
      </c>
      <c r="Q224" s="31"/>
      <c r="R224" s="31"/>
      <c r="S224" s="31"/>
      <c r="T224" s="31"/>
      <c r="U224" s="24">
        <f>300000</f>
        <v>300000</v>
      </c>
      <c r="V224" s="24"/>
      <c r="W224" s="24"/>
      <c r="X224" s="25" t="s">
        <v>74</v>
      </c>
      <c r="Y224" s="25"/>
      <c r="Z224" s="25"/>
      <c r="AA224" s="25"/>
      <c r="AB224" s="24">
        <f>300000</f>
        <v>300000</v>
      </c>
      <c r="AC224" s="24"/>
      <c r="AD224" s="24"/>
      <c r="AE224" s="26" t="s">
        <v>74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300000</f>
        <v>300000</v>
      </c>
      <c r="AX224" s="24"/>
      <c r="AY224" s="25" t="s">
        <v>74</v>
      </c>
      <c r="AZ224" s="25"/>
      <c r="BA224" s="24">
        <f>838.42</f>
        <v>838.42</v>
      </c>
      <c r="BB224" s="24"/>
      <c r="BC224" s="24"/>
      <c r="BD224" s="25" t="s">
        <v>74</v>
      </c>
      <c r="BE224" s="25"/>
      <c r="BF224" s="24">
        <f>838.42</f>
        <v>838.42</v>
      </c>
      <c r="BG224" s="24"/>
      <c r="BH224" s="26" t="s">
        <v>74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838.42</f>
        <v>838.42</v>
      </c>
      <c r="BR224" s="24"/>
      <c r="BS224" s="24"/>
      <c r="BT224" s="27" t="s">
        <v>74</v>
      </c>
    </row>
    <row r="225" spans="1:72" s="1" customFormat="1" ht="27" customHeight="1">
      <c r="A225" s="32" t="s">
        <v>411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3" t="s">
        <v>412</v>
      </c>
      <c r="N225" s="33"/>
      <c r="O225" s="33"/>
      <c r="P225" s="33" t="s">
        <v>73</v>
      </c>
      <c r="Q225" s="33"/>
      <c r="R225" s="33"/>
      <c r="S225" s="33"/>
      <c r="T225" s="33"/>
      <c r="U225" s="34">
        <f>-42794876.95</f>
        <v>-42794876.95</v>
      </c>
      <c r="V225" s="34"/>
      <c r="W225" s="34"/>
      <c r="X225" s="35" t="s">
        <v>74</v>
      </c>
      <c r="Y225" s="35"/>
      <c r="Z225" s="35"/>
      <c r="AA225" s="35"/>
      <c r="AB225" s="34">
        <f>-42794876.95</f>
        <v>-42794876.95</v>
      </c>
      <c r="AC225" s="34"/>
      <c r="AD225" s="34"/>
      <c r="AE225" s="36">
        <f>37986765</f>
        <v>37986765</v>
      </c>
      <c r="AF225" s="37" t="s">
        <v>74</v>
      </c>
      <c r="AG225" s="35" t="s">
        <v>74</v>
      </c>
      <c r="AH225" s="35"/>
      <c r="AI225" s="35"/>
      <c r="AJ225" s="35" t="s">
        <v>74</v>
      </c>
      <c r="AK225" s="35"/>
      <c r="AL225" s="35" t="s">
        <v>74</v>
      </c>
      <c r="AM225" s="35"/>
      <c r="AN225" s="35" t="s">
        <v>74</v>
      </c>
      <c r="AO225" s="35"/>
      <c r="AP225" s="35" t="s">
        <v>74</v>
      </c>
      <c r="AQ225" s="35"/>
      <c r="AR225" s="35"/>
      <c r="AS225" s="37" t="s">
        <v>74</v>
      </c>
      <c r="AT225" s="35" t="s">
        <v>74</v>
      </c>
      <c r="AU225" s="35"/>
      <c r="AV225" s="35"/>
      <c r="AW225" s="34">
        <f>-4808111.95</f>
        <v>-4808111.95</v>
      </c>
      <c r="AX225" s="34"/>
      <c r="AY225" s="35" t="s">
        <v>74</v>
      </c>
      <c r="AZ225" s="35"/>
      <c r="BA225" s="34">
        <f>-10401411.02</f>
        <v>-10401411.02</v>
      </c>
      <c r="BB225" s="34"/>
      <c r="BC225" s="34"/>
      <c r="BD225" s="35" t="s">
        <v>74</v>
      </c>
      <c r="BE225" s="35"/>
      <c r="BF225" s="34">
        <f>-10401411.02</f>
        <v>-10401411.02</v>
      </c>
      <c r="BG225" s="34"/>
      <c r="BH225" s="36">
        <f>11280674.04</f>
        <v>11280674.04</v>
      </c>
      <c r="BI225" s="37" t="s">
        <v>74</v>
      </c>
      <c r="BJ225" s="37" t="s">
        <v>74</v>
      </c>
      <c r="BK225" s="37" t="s">
        <v>74</v>
      </c>
      <c r="BL225" s="37" t="s">
        <v>74</v>
      </c>
      <c r="BM225" s="37" t="s">
        <v>74</v>
      </c>
      <c r="BN225" s="37" t="s">
        <v>74</v>
      </c>
      <c r="BO225" s="37" t="s">
        <v>74</v>
      </c>
      <c r="BP225" s="37" t="s">
        <v>74</v>
      </c>
      <c r="BQ225" s="34">
        <f>879263.02</f>
        <v>879263.02</v>
      </c>
      <c r="BR225" s="34"/>
      <c r="BS225" s="34"/>
      <c r="BT225" s="38" t="s">
        <v>74</v>
      </c>
    </row>
    <row r="226" spans="1:72" s="1" customFormat="1" ht="13.5" customHeight="1">
      <c r="A226" s="29" t="s">
        <v>9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</row>
    <row r="227" spans="1:72" s="1" customFormat="1" ht="15.75" customHeight="1">
      <c r="A227" s="12" t="s">
        <v>413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</row>
    <row r="228" spans="1:72" s="1" customFormat="1" ht="28.5" customHeight="1">
      <c r="A228" s="3" t="s">
        <v>21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 t="s">
        <v>22</v>
      </c>
      <c r="N228" s="3"/>
      <c r="O228" s="3"/>
      <c r="P228" s="3" t="s">
        <v>23</v>
      </c>
      <c r="Q228" s="3"/>
      <c r="R228" s="3"/>
      <c r="S228" s="3"/>
      <c r="T228" s="3"/>
      <c r="U228" s="3" t="s">
        <v>24</v>
      </c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 t="s">
        <v>39</v>
      </c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</row>
    <row r="229" spans="1:72" s="1" customFormat="1" ht="126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3" t="s">
        <v>25</v>
      </c>
      <c r="V229" s="13"/>
      <c r="W229" s="13"/>
      <c r="X229" s="13" t="s">
        <v>26</v>
      </c>
      <c r="Y229" s="13"/>
      <c r="Z229" s="13"/>
      <c r="AA229" s="13"/>
      <c r="AB229" s="13" t="s">
        <v>27</v>
      </c>
      <c r="AC229" s="13"/>
      <c r="AD229" s="13"/>
      <c r="AE229" s="14" t="s">
        <v>28</v>
      </c>
      <c r="AF229" s="14" t="s">
        <v>29</v>
      </c>
      <c r="AG229" s="13" t="s">
        <v>30</v>
      </c>
      <c r="AH229" s="13"/>
      <c r="AI229" s="13"/>
      <c r="AJ229" s="13" t="s">
        <v>31</v>
      </c>
      <c r="AK229" s="13"/>
      <c r="AL229" s="13" t="s">
        <v>32</v>
      </c>
      <c r="AM229" s="13"/>
      <c r="AN229" s="13" t="s">
        <v>33</v>
      </c>
      <c r="AO229" s="13"/>
      <c r="AP229" s="13" t="s">
        <v>34</v>
      </c>
      <c r="AQ229" s="13"/>
      <c r="AR229" s="13"/>
      <c r="AS229" s="14" t="s">
        <v>35</v>
      </c>
      <c r="AT229" s="13" t="s">
        <v>36</v>
      </c>
      <c r="AU229" s="13"/>
      <c r="AV229" s="13"/>
      <c r="AW229" s="13" t="s">
        <v>37</v>
      </c>
      <c r="AX229" s="13"/>
      <c r="AY229" s="13" t="s">
        <v>38</v>
      </c>
      <c r="AZ229" s="13"/>
      <c r="BA229" s="13" t="s">
        <v>25</v>
      </c>
      <c r="BB229" s="13"/>
      <c r="BC229" s="13"/>
      <c r="BD229" s="13" t="s">
        <v>26</v>
      </c>
      <c r="BE229" s="13"/>
      <c r="BF229" s="13" t="s">
        <v>27</v>
      </c>
      <c r="BG229" s="13"/>
      <c r="BH229" s="14" t="s">
        <v>28</v>
      </c>
      <c r="BI229" s="14" t="s">
        <v>29</v>
      </c>
      <c r="BJ229" s="14" t="s">
        <v>30</v>
      </c>
      <c r="BK229" s="14" t="s">
        <v>31</v>
      </c>
      <c r="BL229" s="14" t="s">
        <v>32</v>
      </c>
      <c r="BM229" s="14" t="s">
        <v>33</v>
      </c>
      <c r="BN229" s="14" t="s">
        <v>34</v>
      </c>
      <c r="BO229" s="14" t="s">
        <v>35</v>
      </c>
      <c r="BP229" s="14" t="s">
        <v>36</v>
      </c>
      <c r="BQ229" s="13" t="s">
        <v>37</v>
      </c>
      <c r="BR229" s="13"/>
      <c r="BS229" s="13"/>
      <c r="BT229" s="14" t="s">
        <v>38</v>
      </c>
    </row>
    <row r="230" spans="1:72" s="1" customFormat="1" ht="13.5" customHeight="1">
      <c r="A230" s="3" t="s">
        <v>40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 t="s">
        <v>41</v>
      </c>
      <c r="N230" s="3"/>
      <c r="O230" s="3"/>
      <c r="P230" s="3" t="s">
        <v>42</v>
      </c>
      <c r="Q230" s="3"/>
      <c r="R230" s="3"/>
      <c r="S230" s="3"/>
      <c r="T230" s="3"/>
      <c r="U230" s="3" t="s">
        <v>43</v>
      </c>
      <c r="V230" s="3"/>
      <c r="W230" s="3"/>
      <c r="X230" s="3" t="s">
        <v>44</v>
      </c>
      <c r="Y230" s="3"/>
      <c r="Z230" s="3"/>
      <c r="AA230" s="3"/>
      <c r="AB230" s="3" t="s">
        <v>45</v>
      </c>
      <c r="AC230" s="3"/>
      <c r="AD230" s="3"/>
      <c r="AE230" s="15" t="s">
        <v>46</v>
      </c>
      <c r="AF230" s="15" t="s">
        <v>47</v>
      </c>
      <c r="AG230" s="3" t="s">
        <v>48</v>
      </c>
      <c r="AH230" s="3"/>
      <c r="AI230" s="3"/>
      <c r="AJ230" s="3" t="s">
        <v>49</v>
      </c>
      <c r="AK230" s="3"/>
      <c r="AL230" s="3" t="s">
        <v>50</v>
      </c>
      <c r="AM230" s="3"/>
      <c r="AN230" s="3" t="s">
        <v>51</v>
      </c>
      <c r="AO230" s="3"/>
      <c r="AP230" s="3" t="s">
        <v>52</v>
      </c>
      <c r="AQ230" s="3"/>
      <c r="AR230" s="3"/>
      <c r="AS230" s="15" t="s">
        <v>53</v>
      </c>
      <c r="AT230" s="3" t="s">
        <v>54</v>
      </c>
      <c r="AU230" s="3"/>
      <c r="AV230" s="3"/>
      <c r="AW230" s="3" t="s">
        <v>55</v>
      </c>
      <c r="AX230" s="3"/>
      <c r="AY230" s="3" t="s">
        <v>56</v>
      </c>
      <c r="AZ230" s="3"/>
      <c r="BA230" s="3" t="s">
        <v>57</v>
      </c>
      <c r="BB230" s="3"/>
      <c r="BC230" s="3"/>
      <c r="BD230" s="3" t="s">
        <v>58</v>
      </c>
      <c r="BE230" s="3"/>
      <c r="BF230" s="3" t="s">
        <v>59</v>
      </c>
      <c r="BG230" s="3"/>
      <c r="BH230" s="15" t="s">
        <v>60</v>
      </c>
      <c r="BI230" s="15" t="s">
        <v>61</v>
      </c>
      <c r="BJ230" s="15" t="s">
        <v>62</v>
      </c>
      <c r="BK230" s="15" t="s">
        <v>63</v>
      </c>
      <c r="BL230" s="15" t="s">
        <v>64</v>
      </c>
      <c r="BM230" s="15" t="s">
        <v>65</v>
      </c>
      <c r="BN230" s="15" t="s">
        <v>66</v>
      </c>
      <c r="BO230" s="15" t="s">
        <v>67</v>
      </c>
      <c r="BP230" s="15" t="s">
        <v>68</v>
      </c>
      <c r="BQ230" s="3" t="s">
        <v>69</v>
      </c>
      <c r="BR230" s="3"/>
      <c r="BS230" s="3"/>
      <c r="BT230" s="15" t="s">
        <v>70</v>
      </c>
    </row>
    <row r="231" spans="1:72" s="1" customFormat="1" ht="27" customHeight="1">
      <c r="A231" s="16" t="s">
        <v>414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7" t="s">
        <v>415</v>
      </c>
      <c r="N231" s="17"/>
      <c r="O231" s="17"/>
      <c r="P231" s="17" t="s">
        <v>73</v>
      </c>
      <c r="Q231" s="17"/>
      <c r="R231" s="17"/>
      <c r="S231" s="17"/>
      <c r="T231" s="17"/>
      <c r="U231" s="18">
        <f>42794876.95</f>
        <v>42794876.95</v>
      </c>
      <c r="V231" s="18"/>
      <c r="W231" s="18"/>
      <c r="X231" s="19" t="s">
        <v>74</v>
      </c>
      <c r="Y231" s="19"/>
      <c r="Z231" s="19"/>
      <c r="AA231" s="19"/>
      <c r="AB231" s="18">
        <f>42794876.95</f>
        <v>42794876.95</v>
      </c>
      <c r="AC231" s="18"/>
      <c r="AD231" s="18"/>
      <c r="AE231" s="20">
        <f>-37986765</f>
        <v>-37986765</v>
      </c>
      <c r="AF231" s="21" t="s">
        <v>74</v>
      </c>
      <c r="AG231" s="19" t="s">
        <v>74</v>
      </c>
      <c r="AH231" s="19"/>
      <c r="AI231" s="19"/>
      <c r="AJ231" s="19" t="s">
        <v>74</v>
      </c>
      <c r="AK231" s="19"/>
      <c r="AL231" s="19" t="s">
        <v>74</v>
      </c>
      <c r="AM231" s="19"/>
      <c r="AN231" s="19" t="s">
        <v>74</v>
      </c>
      <c r="AO231" s="19"/>
      <c r="AP231" s="19" t="s">
        <v>74</v>
      </c>
      <c r="AQ231" s="19"/>
      <c r="AR231" s="19"/>
      <c r="AS231" s="21" t="s">
        <v>74</v>
      </c>
      <c r="AT231" s="19" t="s">
        <v>74</v>
      </c>
      <c r="AU231" s="19"/>
      <c r="AV231" s="19"/>
      <c r="AW231" s="18">
        <f>4808111.95</f>
        <v>4808111.95</v>
      </c>
      <c r="AX231" s="18"/>
      <c r="AY231" s="19" t="s">
        <v>74</v>
      </c>
      <c r="AZ231" s="19"/>
      <c r="BA231" s="18">
        <f>10401411.02</f>
        <v>10401411.02</v>
      </c>
      <c r="BB231" s="18"/>
      <c r="BC231" s="18"/>
      <c r="BD231" s="19" t="s">
        <v>74</v>
      </c>
      <c r="BE231" s="19"/>
      <c r="BF231" s="18">
        <f>10401411.02</f>
        <v>10401411.02</v>
      </c>
      <c r="BG231" s="18"/>
      <c r="BH231" s="20">
        <f>-11280674.04</f>
        <v>-11280674.04</v>
      </c>
      <c r="BI231" s="21" t="s">
        <v>74</v>
      </c>
      <c r="BJ231" s="21" t="s">
        <v>74</v>
      </c>
      <c r="BK231" s="21" t="s">
        <v>74</v>
      </c>
      <c r="BL231" s="21" t="s">
        <v>74</v>
      </c>
      <c r="BM231" s="21" t="s">
        <v>74</v>
      </c>
      <c r="BN231" s="21" t="s">
        <v>74</v>
      </c>
      <c r="BO231" s="21" t="s">
        <v>74</v>
      </c>
      <c r="BP231" s="21" t="s">
        <v>74</v>
      </c>
      <c r="BQ231" s="18">
        <f>-879263.02</f>
        <v>-879263.02</v>
      </c>
      <c r="BR231" s="18"/>
      <c r="BS231" s="18"/>
      <c r="BT231" s="22" t="s">
        <v>74</v>
      </c>
    </row>
    <row r="232" spans="1:72" s="1" customFormat="1" ht="24" customHeight="1">
      <c r="A232" s="16" t="s">
        <v>416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417</v>
      </c>
      <c r="N232" s="23"/>
      <c r="O232" s="23"/>
      <c r="P232" s="23" t="s">
        <v>73</v>
      </c>
      <c r="Q232" s="23"/>
      <c r="R232" s="23"/>
      <c r="S232" s="23"/>
      <c r="T232" s="23"/>
      <c r="U232" s="25" t="s">
        <v>74</v>
      </c>
      <c r="V232" s="25"/>
      <c r="W232" s="25"/>
      <c r="X232" s="25" t="s">
        <v>74</v>
      </c>
      <c r="Y232" s="25"/>
      <c r="Z232" s="25"/>
      <c r="AA232" s="25"/>
      <c r="AB232" s="25" t="s">
        <v>74</v>
      </c>
      <c r="AC232" s="25"/>
      <c r="AD232" s="25"/>
      <c r="AE232" s="26" t="s">
        <v>74</v>
      </c>
      <c r="AF232" s="26" t="s">
        <v>74</v>
      </c>
      <c r="AG232" s="25" t="s">
        <v>74</v>
      </c>
      <c r="AH232" s="25"/>
      <c r="AI232" s="25"/>
      <c r="AJ232" s="25" t="s">
        <v>74</v>
      </c>
      <c r="AK232" s="25"/>
      <c r="AL232" s="25" t="s">
        <v>74</v>
      </c>
      <c r="AM232" s="25"/>
      <c r="AN232" s="25" t="s">
        <v>74</v>
      </c>
      <c r="AO232" s="25"/>
      <c r="AP232" s="25" t="s">
        <v>74</v>
      </c>
      <c r="AQ232" s="25"/>
      <c r="AR232" s="25"/>
      <c r="AS232" s="26" t="s">
        <v>74</v>
      </c>
      <c r="AT232" s="25" t="s">
        <v>74</v>
      </c>
      <c r="AU232" s="25"/>
      <c r="AV232" s="25"/>
      <c r="AW232" s="25" t="s">
        <v>74</v>
      </c>
      <c r="AX232" s="25"/>
      <c r="AY232" s="25" t="s">
        <v>74</v>
      </c>
      <c r="AZ232" s="25"/>
      <c r="BA232" s="25" t="s">
        <v>74</v>
      </c>
      <c r="BB232" s="25"/>
      <c r="BC232" s="25"/>
      <c r="BD232" s="25" t="s">
        <v>74</v>
      </c>
      <c r="BE232" s="25"/>
      <c r="BF232" s="25" t="s">
        <v>74</v>
      </c>
      <c r="BG232" s="25"/>
      <c r="BH232" s="26" t="s">
        <v>74</v>
      </c>
      <c r="BI232" s="26" t="s">
        <v>74</v>
      </c>
      <c r="BJ232" s="26" t="s">
        <v>74</v>
      </c>
      <c r="BK232" s="26" t="s">
        <v>74</v>
      </c>
      <c r="BL232" s="26" t="s">
        <v>74</v>
      </c>
      <c r="BM232" s="26" t="s">
        <v>74</v>
      </c>
      <c r="BN232" s="26" t="s">
        <v>74</v>
      </c>
      <c r="BO232" s="26" t="s">
        <v>74</v>
      </c>
      <c r="BP232" s="26" t="s">
        <v>74</v>
      </c>
      <c r="BQ232" s="25" t="s">
        <v>74</v>
      </c>
      <c r="BR232" s="25"/>
      <c r="BS232" s="25"/>
      <c r="BT232" s="27" t="s">
        <v>74</v>
      </c>
    </row>
    <row r="233" spans="1:72" s="1" customFormat="1" ht="13.5" customHeight="1">
      <c r="A233" s="16" t="s">
        <v>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417</v>
      </c>
      <c r="N233" s="23"/>
      <c r="O233" s="23"/>
      <c r="P233" s="23" t="s">
        <v>9</v>
      </c>
      <c r="Q233" s="23"/>
      <c r="R233" s="23"/>
      <c r="S233" s="23"/>
      <c r="T233" s="23"/>
      <c r="U233" s="25" t="s">
        <v>74</v>
      </c>
      <c r="V233" s="25"/>
      <c r="W233" s="25"/>
      <c r="X233" s="25" t="s">
        <v>74</v>
      </c>
      <c r="Y233" s="25"/>
      <c r="Z233" s="25"/>
      <c r="AA233" s="25"/>
      <c r="AB233" s="25" t="s">
        <v>74</v>
      </c>
      <c r="AC233" s="25"/>
      <c r="AD233" s="25"/>
      <c r="AE233" s="26" t="s">
        <v>74</v>
      </c>
      <c r="AF233" s="26" t="s">
        <v>74</v>
      </c>
      <c r="AG233" s="25" t="s">
        <v>74</v>
      </c>
      <c r="AH233" s="25"/>
      <c r="AI233" s="25"/>
      <c r="AJ233" s="25" t="s">
        <v>74</v>
      </c>
      <c r="AK233" s="25"/>
      <c r="AL233" s="25" t="s">
        <v>74</v>
      </c>
      <c r="AM233" s="25"/>
      <c r="AN233" s="25" t="s">
        <v>74</v>
      </c>
      <c r="AO233" s="25"/>
      <c r="AP233" s="25" t="s">
        <v>74</v>
      </c>
      <c r="AQ233" s="25"/>
      <c r="AR233" s="25"/>
      <c r="AS233" s="26" t="s">
        <v>74</v>
      </c>
      <c r="AT233" s="25" t="s">
        <v>74</v>
      </c>
      <c r="AU233" s="25"/>
      <c r="AV233" s="25"/>
      <c r="AW233" s="25" t="s">
        <v>74</v>
      </c>
      <c r="AX233" s="25"/>
      <c r="AY233" s="25" t="s">
        <v>74</v>
      </c>
      <c r="AZ233" s="25"/>
      <c r="BA233" s="25" t="s">
        <v>74</v>
      </c>
      <c r="BB233" s="25"/>
      <c r="BC233" s="25"/>
      <c r="BD233" s="25" t="s">
        <v>74</v>
      </c>
      <c r="BE233" s="25"/>
      <c r="BF233" s="25" t="s">
        <v>74</v>
      </c>
      <c r="BG233" s="25"/>
      <c r="BH233" s="26" t="s">
        <v>74</v>
      </c>
      <c r="BI233" s="26" t="s">
        <v>74</v>
      </c>
      <c r="BJ233" s="26" t="s">
        <v>74</v>
      </c>
      <c r="BK233" s="26" t="s">
        <v>74</v>
      </c>
      <c r="BL233" s="26" t="s">
        <v>74</v>
      </c>
      <c r="BM233" s="26" t="s">
        <v>74</v>
      </c>
      <c r="BN233" s="26" t="s">
        <v>74</v>
      </c>
      <c r="BO233" s="26" t="s">
        <v>74</v>
      </c>
      <c r="BP233" s="26" t="s">
        <v>74</v>
      </c>
      <c r="BQ233" s="25" t="s">
        <v>74</v>
      </c>
      <c r="BR233" s="25"/>
      <c r="BS233" s="25"/>
      <c r="BT233" s="27" t="s">
        <v>74</v>
      </c>
    </row>
    <row r="234" spans="1:72" s="1" customFormat="1" ht="24" customHeight="1">
      <c r="A234" s="16" t="s">
        <v>418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419</v>
      </c>
      <c r="N234" s="23"/>
      <c r="O234" s="23"/>
      <c r="P234" s="23" t="s">
        <v>73</v>
      </c>
      <c r="Q234" s="23"/>
      <c r="R234" s="23"/>
      <c r="S234" s="23"/>
      <c r="T234" s="23"/>
      <c r="U234" s="25" t="s">
        <v>74</v>
      </c>
      <c r="V234" s="25"/>
      <c r="W234" s="25"/>
      <c r="X234" s="25" t="s">
        <v>74</v>
      </c>
      <c r="Y234" s="25"/>
      <c r="Z234" s="25"/>
      <c r="AA234" s="25"/>
      <c r="AB234" s="25" t="s">
        <v>74</v>
      </c>
      <c r="AC234" s="25"/>
      <c r="AD234" s="25"/>
      <c r="AE234" s="26" t="s">
        <v>74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5" t="s">
        <v>74</v>
      </c>
      <c r="AX234" s="25"/>
      <c r="AY234" s="25" t="s">
        <v>74</v>
      </c>
      <c r="AZ234" s="25"/>
      <c r="BA234" s="25" t="s">
        <v>74</v>
      </c>
      <c r="BB234" s="25"/>
      <c r="BC234" s="25"/>
      <c r="BD234" s="25" t="s">
        <v>74</v>
      </c>
      <c r="BE234" s="25"/>
      <c r="BF234" s="25" t="s">
        <v>74</v>
      </c>
      <c r="BG234" s="25"/>
      <c r="BH234" s="26" t="s">
        <v>74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5" t="s">
        <v>74</v>
      </c>
      <c r="BR234" s="25"/>
      <c r="BS234" s="25"/>
      <c r="BT234" s="27" t="s">
        <v>74</v>
      </c>
    </row>
    <row r="235" spans="1:72" s="1" customFormat="1" ht="13.5" customHeight="1">
      <c r="A235" s="16" t="s">
        <v>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419</v>
      </c>
      <c r="N235" s="23"/>
      <c r="O235" s="23"/>
      <c r="P235" s="23" t="s">
        <v>9</v>
      </c>
      <c r="Q235" s="23"/>
      <c r="R235" s="23"/>
      <c r="S235" s="23"/>
      <c r="T235" s="23"/>
      <c r="U235" s="25" t="s">
        <v>74</v>
      </c>
      <c r="V235" s="25"/>
      <c r="W235" s="25"/>
      <c r="X235" s="25" t="s">
        <v>74</v>
      </c>
      <c r="Y235" s="25"/>
      <c r="Z235" s="25"/>
      <c r="AA235" s="25"/>
      <c r="AB235" s="25" t="s">
        <v>74</v>
      </c>
      <c r="AC235" s="25"/>
      <c r="AD235" s="25"/>
      <c r="AE235" s="26" t="s">
        <v>74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5" t="s">
        <v>74</v>
      </c>
      <c r="AX235" s="25"/>
      <c r="AY235" s="25" t="s">
        <v>74</v>
      </c>
      <c r="AZ235" s="25"/>
      <c r="BA235" s="25" t="s">
        <v>74</v>
      </c>
      <c r="BB235" s="25"/>
      <c r="BC235" s="25"/>
      <c r="BD235" s="25" t="s">
        <v>74</v>
      </c>
      <c r="BE235" s="25"/>
      <c r="BF235" s="25" t="s">
        <v>74</v>
      </c>
      <c r="BG235" s="25"/>
      <c r="BH235" s="26" t="s">
        <v>74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5" t="s">
        <v>74</v>
      </c>
      <c r="BR235" s="25"/>
      <c r="BS235" s="25"/>
      <c r="BT235" s="27" t="s">
        <v>74</v>
      </c>
    </row>
    <row r="236" spans="1:72" s="1" customFormat="1" ht="13.5" customHeight="1">
      <c r="A236" s="16" t="s">
        <v>420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421</v>
      </c>
      <c r="N236" s="23"/>
      <c r="O236" s="23"/>
      <c r="P236" s="23" t="s">
        <v>422</v>
      </c>
      <c r="Q236" s="23"/>
      <c r="R236" s="23"/>
      <c r="S236" s="23"/>
      <c r="T236" s="23"/>
      <c r="U236" s="24">
        <f>42794876.95</f>
        <v>42794876.95</v>
      </c>
      <c r="V236" s="24"/>
      <c r="W236" s="24"/>
      <c r="X236" s="25" t="s">
        <v>74</v>
      </c>
      <c r="Y236" s="25"/>
      <c r="Z236" s="25"/>
      <c r="AA236" s="25"/>
      <c r="AB236" s="24">
        <f>42794876.95</f>
        <v>42794876.95</v>
      </c>
      <c r="AC236" s="24"/>
      <c r="AD236" s="24"/>
      <c r="AE236" s="28">
        <f>-37986765</f>
        <v>-37986765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4">
        <f>4808111.95</f>
        <v>4808111.95</v>
      </c>
      <c r="AX236" s="24"/>
      <c r="AY236" s="25" t="s">
        <v>74</v>
      </c>
      <c r="AZ236" s="25"/>
      <c r="BA236" s="24">
        <f>10401411.02</f>
        <v>10401411.02</v>
      </c>
      <c r="BB236" s="24"/>
      <c r="BC236" s="24"/>
      <c r="BD236" s="25" t="s">
        <v>74</v>
      </c>
      <c r="BE236" s="25"/>
      <c r="BF236" s="24">
        <f>10401411.02</f>
        <v>10401411.02</v>
      </c>
      <c r="BG236" s="24"/>
      <c r="BH236" s="28">
        <f>-11280674.04</f>
        <v>-11280674.04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4">
        <f>-879263.02</f>
        <v>-879263.02</v>
      </c>
      <c r="BR236" s="24"/>
      <c r="BS236" s="24"/>
      <c r="BT236" s="27" t="s">
        <v>74</v>
      </c>
    </row>
    <row r="237" spans="1:72" s="1" customFormat="1" ht="13.5" customHeight="1">
      <c r="A237" s="16" t="s">
        <v>423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424</v>
      </c>
      <c r="N237" s="23"/>
      <c r="O237" s="23"/>
      <c r="P237" s="23" t="s">
        <v>425</v>
      </c>
      <c r="Q237" s="23"/>
      <c r="R237" s="23"/>
      <c r="S237" s="23"/>
      <c r="T237" s="23"/>
      <c r="U237" s="24">
        <f>-12507048</f>
        <v>-12507048</v>
      </c>
      <c r="V237" s="24"/>
      <c r="W237" s="24"/>
      <c r="X237" s="25" t="s">
        <v>74</v>
      </c>
      <c r="Y237" s="25"/>
      <c r="Z237" s="25"/>
      <c r="AA237" s="25"/>
      <c r="AB237" s="24">
        <f>-12507048</f>
        <v>-12507048</v>
      </c>
      <c r="AC237" s="24"/>
      <c r="AD237" s="24"/>
      <c r="AE237" s="28">
        <f>-38188735</f>
        <v>-38188735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4">
        <f>-50695783</f>
        <v>-50695783</v>
      </c>
      <c r="AX237" s="24"/>
      <c r="AY237" s="25" t="s">
        <v>74</v>
      </c>
      <c r="AZ237" s="25"/>
      <c r="BA237" s="24">
        <f>-6818067.92</f>
        <v>-6818067.92</v>
      </c>
      <c r="BB237" s="24"/>
      <c r="BC237" s="24"/>
      <c r="BD237" s="25" t="s">
        <v>74</v>
      </c>
      <c r="BE237" s="25"/>
      <c r="BF237" s="24">
        <f>-6818067.92</f>
        <v>-6818067.92</v>
      </c>
      <c r="BG237" s="24"/>
      <c r="BH237" s="28">
        <f>-11378556.04</f>
        <v>-11378556.04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4">
        <f>-18196623.96</f>
        <v>-18196623.96</v>
      </c>
      <c r="BR237" s="24"/>
      <c r="BS237" s="24"/>
      <c r="BT237" s="27" t="s">
        <v>74</v>
      </c>
    </row>
    <row r="238" spans="1:72" s="1" customFormat="1" ht="13.5" customHeight="1">
      <c r="A238" s="16" t="s">
        <v>426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424</v>
      </c>
      <c r="N238" s="23"/>
      <c r="O238" s="23"/>
      <c r="P238" s="23" t="s">
        <v>427</v>
      </c>
      <c r="Q238" s="23"/>
      <c r="R238" s="23"/>
      <c r="S238" s="23"/>
      <c r="T238" s="23"/>
      <c r="U238" s="24">
        <f>-12507048</f>
        <v>-12507048</v>
      </c>
      <c r="V238" s="24"/>
      <c r="W238" s="24"/>
      <c r="X238" s="25" t="s">
        <v>74</v>
      </c>
      <c r="Y238" s="25"/>
      <c r="Z238" s="25"/>
      <c r="AA238" s="25"/>
      <c r="AB238" s="24">
        <f>-12507048</f>
        <v>-12507048</v>
      </c>
      <c r="AC238" s="24"/>
      <c r="AD238" s="24"/>
      <c r="AE238" s="28">
        <f>-38188735</f>
        <v>-38188735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-50695783</f>
        <v>-50695783</v>
      </c>
      <c r="AX238" s="24"/>
      <c r="AY238" s="25" t="s">
        <v>74</v>
      </c>
      <c r="AZ238" s="25"/>
      <c r="BA238" s="24">
        <f>-6818067.92</f>
        <v>-6818067.92</v>
      </c>
      <c r="BB238" s="24"/>
      <c r="BC238" s="24"/>
      <c r="BD238" s="25" t="s">
        <v>74</v>
      </c>
      <c r="BE238" s="25"/>
      <c r="BF238" s="24">
        <f>-6818067.92</f>
        <v>-6818067.92</v>
      </c>
      <c r="BG238" s="24"/>
      <c r="BH238" s="28">
        <f>-11378556.04</f>
        <v>-11378556.04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-18196623.96</f>
        <v>-18196623.96</v>
      </c>
      <c r="BR238" s="24"/>
      <c r="BS238" s="24"/>
      <c r="BT238" s="27" t="s">
        <v>74</v>
      </c>
    </row>
    <row r="239" spans="1:72" s="1" customFormat="1" ht="24" customHeight="1">
      <c r="A239" s="16" t="s">
        <v>428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424</v>
      </c>
      <c r="N239" s="23"/>
      <c r="O239" s="23"/>
      <c r="P239" s="23" t="s">
        <v>429</v>
      </c>
      <c r="Q239" s="23"/>
      <c r="R239" s="23"/>
      <c r="S239" s="23"/>
      <c r="T239" s="23"/>
      <c r="U239" s="24">
        <f>-12507048</f>
        <v>-12507048</v>
      </c>
      <c r="V239" s="24"/>
      <c r="W239" s="24"/>
      <c r="X239" s="25" t="s">
        <v>74</v>
      </c>
      <c r="Y239" s="25"/>
      <c r="Z239" s="25"/>
      <c r="AA239" s="25"/>
      <c r="AB239" s="24">
        <f>-12507048</f>
        <v>-12507048</v>
      </c>
      <c r="AC239" s="24"/>
      <c r="AD239" s="24"/>
      <c r="AE239" s="28">
        <f>-38188735</f>
        <v>-38188735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-50695783</f>
        <v>-50695783</v>
      </c>
      <c r="AX239" s="24"/>
      <c r="AY239" s="25" t="s">
        <v>74</v>
      </c>
      <c r="AZ239" s="25"/>
      <c r="BA239" s="24">
        <f>-6818067.92</f>
        <v>-6818067.92</v>
      </c>
      <c r="BB239" s="24"/>
      <c r="BC239" s="24"/>
      <c r="BD239" s="25" t="s">
        <v>74</v>
      </c>
      <c r="BE239" s="25"/>
      <c r="BF239" s="24">
        <f>-6818067.92</f>
        <v>-6818067.92</v>
      </c>
      <c r="BG239" s="24"/>
      <c r="BH239" s="28">
        <f>-11378556.04</f>
        <v>-11378556.04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-18196623.96</f>
        <v>-18196623.96</v>
      </c>
      <c r="BR239" s="24"/>
      <c r="BS239" s="24"/>
      <c r="BT239" s="27" t="s">
        <v>74</v>
      </c>
    </row>
    <row r="240" spans="1:72" s="1" customFormat="1" ht="24" customHeight="1">
      <c r="A240" s="16" t="s">
        <v>430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424</v>
      </c>
      <c r="N240" s="23"/>
      <c r="O240" s="23"/>
      <c r="P240" s="23" t="s">
        <v>431</v>
      </c>
      <c r="Q240" s="23"/>
      <c r="R240" s="23"/>
      <c r="S240" s="23"/>
      <c r="T240" s="23"/>
      <c r="U240" s="24">
        <f>-12507048</f>
        <v>-12507048</v>
      </c>
      <c r="V240" s="24"/>
      <c r="W240" s="24"/>
      <c r="X240" s="25" t="s">
        <v>74</v>
      </c>
      <c r="Y240" s="25"/>
      <c r="Z240" s="25"/>
      <c r="AA240" s="25"/>
      <c r="AB240" s="24">
        <f>-12507048</f>
        <v>-12507048</v>
      </c>
      <c r="AC240" s="24"/>
      <c r="AD240" s="24"/>
      <c r="AE240" s="28">
        <f>-38188735</f>
        <v>-38188735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-50695783</f>
        <v>-50695783</v>
      </c>
      <c r="AX240" s="24"/>
      <c r="AY240" s="25" t="s">
        <v>74</v>
      </c>
      <c r="AZ240" s="25"/>
      <c r="BA240" s="24">
        <f>-6818067.92</f>
        <v>-6818067.92</v>
      </c>
      <c r="BB240" s="24"/>
      <c r="BC240" s="24"/>
      <c r="BD240" s="25" t="s">
        <v>74</v>
      </c>
      <c r="BE240" s="25"/>
      <c r="BF240" s="24">
        <f>-6818067.92</f>
        <v>-6818067.92</v>
      </c>
      <c r="BG240" s="24"/>
      <c r="BH240" s="28">
        <f>-11378556.04</f>
        <v>-11378556.04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-18196623.96</f>
        <v>-18196623.96</v>
      </c>
      <c r="BR240" s="24"/>
      <c r="BS240" s="24"/>
      <c r="BT240" s="27" t="s">
        <v>74</v>
      </c>
    </row>
    <row r="241" spans="1:72" s="1" customFormat="1" ht="13.5" customHeight="1">
      <c r="A241" s="16" t="s">
        <v>432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433</v>
      </c>
      <c r="N241" s="23"/>
      <c r="O241" s="23"/>
      <c r="P241" s="23" t="s">
        <v>434</v>
      </c>
      <c r="Q241" s="23"/>
      <c r="R241" s="23"/>
      <c r="S241" s="23"/>
      <c r="T241" s="23"/>
      <c r="U241" s="24">
        <f>55301924.95</f>
        <v>55301924.95</v>
      </c>
      <c r="V241" s="24"/>
      <c r="W241" s="24"/>
      <c r="X241" s="25" t="s">
        <v>74</v>
      </c>
      <c r="Y241" s="25"/>
      <c r="Z241" s="25"/>
      <c r="AA241" s="25"/>
      <c r="AB241" s="24">
        <f>55301924.95</f>
        <v>55301924.95</v>
      </c>
      <c r="AC241" s="24"/>
      <c r="AD241" s="24"/>
      <c r="AE241" s="28">
        <f>201970</f>
        <v>201970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4">
        <f>55503894.95</f>
        <v>55503894.95</v>
      </c>
      <c r="AX241" s="24"/>
      <c r="AY241" s="25" t="s">
        <v>74</v>
      </c>
      <c r="AZ241" s="25"/>
      <c r="BA241" s="24">
        <f>17219478.94</f>
        <v>17219478.94</v>
      </c>
      <c r="BB241" s="24"/>
      <c r="BC241" s="24"/>
      <c r="BD241" s="25" t="s">
        <v>74</v>
      </c>
      <c r="BE241" s="25"/>
      <c r="BF241" s="24">
        <f>17219478.94</f>
        <v>17219478.94</v>
      </c>
      <c r="BG241" s="24"/>
      <c r="BH241" s="28">
        <f>97882</f>
        <v>97882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4">
        <f>17317360.94</f>
        <v>17317360.94</v>
      </c>
      <c r="BR241" s="24"/>
      <c r="BS241" s="24"/>
      <c r="BT241" s="27" t="s">
        <v>74</v>
      </c>
    </row>
    <row r="242" spans="1:72" s="1" customFormat="1" ht="13.5" customHeight="1">
      <c r="A242" s="16" t="s">
        <v>435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3" t="s">
        <v>433</v>
      </c>
      <c r="N242" s="23"/>
      <c r="O242" s="23"/>
      <c r="P242" s="23" t="s">
        <v>436</v>
      </c>
      <c r="Q242" s="23"/>
      <c r="R242" s="23"/>
      <c r="S242" s="23"/>
      <c r="T242" s="23"/>
      <c r="U242" s="24">
        <f>55301924.95</f>
        <v>55301924.95</v>
      </c>
      <c r="V242" s="24"/>
      <c r="W242" s="24"/>
      <c r="X242" s="25" t="s">
        <v>74</v>
      </c>
      <c r="Y242" s="25"/>
      <c r="Z242" s="25"/>
      <c r="AA242" s="25"/>
      <c r="AB242" s="24">
        <f>55301924.95</f>
        <v>55301924.95</v>
      </c>
      <c r="AC242" s="24"/>
      <c r="AD242" s="24"/>
      <c r="AE242" s="28">
        <f>201970</f>
        <v>201970</v>
      </c>
      <c r="AF242" s="26" t="s">
        <v>74</v>
      </c>
      <c r="AG242" s="25" t="s">
        <v>74</v>
      </c>
      <c r="AH242" s="25"/>
      <c r="AI242" s="25"/>
      <c r="AJ242" s="25" t="s">
        <v>74</v>
      </c>
      <c r="AK242" s="25"/>
      <c r="AL242" s="25" t="s">
        <v>74</v>
      </c>
      <c r="AM242" s="25"/>
      <c r="AN242" s="25" t="s">
        <v>74</v>
      </c>
      <c r="AO242" s="25"/>
      <c r="AP242" s="25" t="s">
        <v>74</v>
      </c>
      <c r="AQ242" s="25"/>
      <c r="AR242" s="25"/>
      <c r="AS242" s="26" t="s">
        <v>74</v>
      </c>
      <c r="AT242" s="25" t="s">
        <v>74</v>
      </c>
      <c r="AU242" s="25"/>
      <c r="AV242" s="25"/>
      <c r="AW242" s="24">
        <f>55503894.95</f>
        <v>55503894.95</v>
      </c>
      <c r="AX242" s="24"/>
      <c r="AY242" s="25" t="s">
        <v>74</v>
      </c>
      <c r="AZ242" s="25"/>
      <c r="BA242" s="24">
        <f>17219478.94</f>
        <v>17219478.94</v>
      </c>
      <c r="BB242" s="24"/>
      <c r="BC242" s="24"/>
      <c r="BD242" s="25" t="s">
        <v>74</v>
      </c>
      <c r="BE242" s="25"/>
      <c r="BF242" s="24">
        <f>17219478.94</f>
        <v>17219478.94</v>
      </c>
      <c r="BG242" s="24"/>
      <c r="BH242" s="28">
        <f>97882</f>
        <v>97882</v>
      </c>
      <c r="BI242" s="26" t="s">
        <v>74</v>
      </c>
      <c r="BJ242" s="26" t="s">
        <v>74</v>
      </c>
      <c r="BK242" s="26" t="s">
        <v>74</v>
      </c>
      <c r="BL242" s="26" t="s">
        <v>74</v>
      </c>
      <c r="BM242" s="26" t="s">
        <v>74</v>
      </c>
      <c r="BN242" s="26" t="s">
        <v>74</v>
      </c>
      <c r="BO242" s="26" t="s">
        <v>74</v>
      </c>
      <c r="BP242" s="26" t="s">
        <v>74</v>
      </c>
      <c r="BQ242" s="24">
        <f>17317360.94</f>
        <v>17317360.94</v>
      </c>
      <c r="BR242" s="24"/>
      <c r="BS242" s="24"/>
      <c r="BT242" s="27" t="s">
        <v>74</v>
      </c>
    </row>
    <row r="243" spans="1:72" s="1" customFormat="1" ht="24" customHeight="1">
      <c r="A243" s="16" t="s">
        <v>437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3" t="s">
        <v>433</v>
      </c>
      <c r="N243" s="23"/>
      <c r="O243" s="23"/>
      <c r="P243" s="23" t="s">
        <v>438</v>
      </c>
      <c r="Q243" s="23"/>
      <c r="R243" s="23"/>
      <c r="S243" s="23"/>
      <c r="T243" s="23"/>
      <c r="U243" s="24">
        <f>55301924.95</f>
        <v>55301924.95</v>
      </c>
      <c r="V243" s="24"/>
      <c r="W243" s="24"/>
      <c r="X243" s="25" t="s">
        <v>74</v>
      </c>
      <c r="Y243" s="25"/>
      <c r="Z243" s="25"/>
      <c r="AA243" s="25"/>
      <c r="AB243" s="24">
        <f>55301924.95</f>
        <v>55301924.95</v>
      </c>
      <c r="AC243" s="24"/>
      <c r="AD243" s="24"/>
      <c r="AE243" s="28">
        <f>201970</f>
        <v>201970</v>
      </c>
      <c r="AF243" s="26" t="s">
        <v>74</v>
      </c>
      <c r="AG243" s="25" t="s">
        <v>74</v>
      </c>
      <c r="AH243" s="25"/>
      <c r="AI243" s="25"/>
      <c r="AJ243" s="25" t="s">
        <v>74</v>
      </c>
      <c r="AK243" s="25"/>
      <c r="AL243" s="25" t="s">
        <v>74</v>
      </c>
      <c r="AM243" s="25"/>
      <c r="AN243" s="25" t="s">
        <v>74</v>
      </c>
      <c r="AO243" s="25"/>
      <c r="AP243" s="25" t="s">
        <v>74</v>
      </c>
      <c r="AQ243" s="25"/>
      <c r="AR243" s="25"/>
      <c r="AS243" s="26" t="s">
        <v>74</v>
      </c>
      <c r="AT243" s="25" t="s">
        <v>74</v>
      </c>
      <c r="AU243" s="25"/>
      <c r="AV243" s="25"/>
      <c r="AW243" s="24">
        <f>55503894.95</f>
        <v>55503894.95</v>
      </c>
      <c r="AX243" s="24"/>
      <c r="AY243" s="25" t="s">
        <v>74</v>
      </c>
      <c r="AZ243" s="25"/>
      <c r="BA243" s="24">
        <f>17219478.94</f>
        <v>17219478.94</v>
      </c>
      <c r="BB243" s="24"/>
      <c r="BC243" s="24"/>
      <c r="BD243" s="25" t="s">
        <v>74</v>
      </c>
      <c r="BE243" s="25"/>
      <c r="BF243" s="24">
        <f>17219478.94</f>
        <v>17219478.94</v>
      </c>
      <c r="BG243" s="24"/>
      <c r="BH243" s="28">
        <f>97882</f>
        <v>97882</v>
      </c>
      <c r="BI243" s="26" t="s">
        <v>74</v>
      </c>
      <c r="BJ243" s="26" t="s">
        <v>74</v>
      </c>
      <c r="BK243" s="26" t="s">
        <v>74</v>
      </c>
      <c r="BL243" s="26" t="s">
        <v>74</v>
      </c>
      <c r="BM243" s="26" t="s">
        <v>74</v>
      </c>
      <c r="BN243" s="26" t="s">
        <v>74</v>
      </c>
      <c r="BO243" s="26" t="s">
        <v>74</v>
      </c>
      <c r="BP243" s="26" t="s">
        <v>74</v>
      </c>
      <c r="BQ243" s="24">
        <f>17317360.94</f>
        <v>17317360.94</v>
      </c>
      <c r="BR243" s="24"/>
      <c r="BS243" s="24"/>
      <c r="BT243" s="27" t="s">
        <v>74</v>
      </c>
    </row>
    <row r="244" spans="1:72" s="1" customFormat="1" ht="24" customHeight="1">
      <c r="A244" s="16" t="s">
        <v>439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3" t="s">
        <v>433</v>
      </c>
      <c r="N244" s="23"/>
      <c r="O244" s="23"/>
      <c r="P244" s="23" t="s">
        <v>440</v>
      </c>
      <c r="Q244" s="23"/>
      <c r="R244" s="23"/>
      <c r="S244" s="23"/>
      <c r="T244" s="23"/>
      <c r="U244" s="24">
        <f>55301924.95</f>
        <v>55301924.95</v>
      </c>
      <c r="V244" s="24"/>
      <c r="W244" s="24"/>
      <c r="X244" s="25" t="s">
        <v>74</v>
      </c>
      <c r="Y244" s="25"/>
      <c r="Z244" s="25"/>
      <c r="AA244" s="25"/>
      <c r="AB244" s="24">
        <f>55301924.95</f>
        <v>55301924.95</v>
      </c>
      <c r="AC244" s="24"/>
      <c r="AD244" s="24"/>
      <c r="AE244" s="28">
        <f>201970</f>
        <v>201970</v>
      </c>
      <c r="AF244" s="26" t="s">
        <v>74</v>
      </c>
      <c r="AG244" s="25" t="s">
        <v>74</v>
      </c>
      <c r="AH244" s="25"/>
      <c r="AI244" s="25"/>
      <c r="AJ244" s="25" t="s">
        <v>74</v>
      </c>
      <c r="AK244" s="25"/>
      <c r="AL244" s="25" t="s">
        <v>74</v>
      </c>
      <c r="AM244" s="25"/>
      <c r="AN244" s="25" t="s">
        <v>74</v>
      </c>
      <c r="AO244" s="25"/>
      <c r="AP244" s="25" t="s">
        <v>74</v>
      </c>
      <c r="AQ244" s="25"/>
      <c r="AR244" s="25"/>
      <c r="AS244" s="26" t="s">
        <v>74</v>
      </c>
      <c r="AT244" s="25" t="s">
        <v>74</v>
      </c>
      <c r="AU244" s="25"/>
      <c r="AV244" s="25"/>
      <c r="AW244" s="24">
        <f>55503894.95</f>
        <v>55503894.95</v>
      </c>
      <c r="AX244" s="24"/>
      <c r="AY244" s="25" t="s">
        <v>74</v>
      </c>
      <c r="AZ244" s="25"/>
      <c r="BA244" s="24">
        <f>17219478.94</f>
        <v>17219478.94</v>
      </c>
      <c r="BB244" s="24"/>
      <c r="BC244" s="24"/>
      <c r="BD244" s="25" t="s">
        <v>74</v>
      </c>
      <c r="BE244" s="25"/>
      <c r="BF244" s="24">
        <f>17219478.94</f>
        <v>17219478.94</v>
      </c>
      <c r="BG244" s="24"/>
      <c r="BH244" s="28">
        <f>97882</f>
        <v>97882</v>
      </c>
      <c r="BI244" s="26" t="s">
        <v>74</v>
      </c>
      <c r="BJ244" s="26" t="s">
        <v>74</v>
      </c>
      <c r="BK244" s="26" t="s">
        <v>74</v>
      </c>
      <c r="BL244" s="26" t="s">
        <v>74</v>
      </c>
      <c r="BM244" s="26" t="s">
        <v>74</v>
      </c>
      <c r="BN244" s="26" t="s">
        <v>74</v>
      </c>
      <c r="BO244" s="26" t="s">
        <v>74</v>
      </c>
      <c r="BP244" s="26" t="s">
        <v>74</v>
      </c>
      <c r="BQ244" s="24">
        <f>17317360.94</f>
        <v>17317360.94</v>
      </c>
      <c r="BR244" s="24"/>
      <c r="BS244" s="24"/>
      <c r="BT244" s="27" t="s">
        <v>74</v>
      </c>
    </row>
    <row r="245" spans="1:72" s="1" customFormat="1" ht="13.5" customHeight="1">
      <c r="A245" s="29" t="s">
        <v>9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0" t="s">
        <v>9</v>
      </c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</row>
    <row r="246" spans="1:72" s="1" customFormat="1" ht="15.75" customHeight="1">
      <c r="A246" s="12" t="s">
        <v>441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</row>
    <row r="247" spans="1:72" s="1" customFormat="1" ht="13.5" customHeight="1">
      <c r="A247" s="39" t="s">
        <v>442</v>
      </c>
      <c r="B247" s="3" t="s">
        <v>21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 t="s">
        <v>22</v>
      </c>
      <c r="W247" s="3"/>
      <c r="X247" s="3"/>
      <c r="Y247" s="40" t="s">
        <v>443</v>
      </c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3" t="s">
        <v>446</v>
      </c>
      <c r="BF247" s="3"/>
      <c r="BG247" s="29" t="s">
        <v>9</v>
      </c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66" customHeight="1">
      <c r="A248" s="3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 t="s">
        <v>29</v>
      </c>
      <c r="Z248" s="3"/>
      <c r="AA248" s="3"/>
      <c r="AB248" s="3"/>
      <c r="AC248" s="3" t="s">
        <v>30</v>
      </c>
      <c r="AD248" s="3"/>
      <c r="AE248" s="3"/>
      <c r="AF248" s="3" t="s">
        <v>31</v>
      </c>
      <c r="AG248" s="3"/>
      <c r="AH248" s="3"/>
      <c r="AI248" s="3" t="s">
        <v>32</v>
      </c>
      <c r="AJ248" s="3"/>
      <c r="AK248" s="3" t="s">
        <v>33</v>
      </c>
      <c r="AL248" s="3"/>
      <c r="AM248" s="3"/>
      <c r="AN248" s="3"/>
      <c r="AO248" s="3" t="s">
        <v>34</v>
      </c>
      <c r="AP248" s="3"/>
      <c r="AQ248" s="3"/>
      <c r="AR248" s="3" t="s">
        <v>35</v>
      </c>
      <c r="AS248" s="3"/>
      <c r="AT248" s="3"/>
      <c r="AU248" s="3" t="s">
        <v>36</v>
      </c>
      <c r="AV248" s="3"/>
      <c r="AW248" s="3"/>
      <c r="AX248" s="3" t="s">
        <v>444</v>
      </c>
      <c r="AY248" s="3"/>
      <c r="AZ248" s="3" t="s">
        <v>445</v>
      </c>
      <c r="BA248" s="3"/>
      <c r="BB248" s="3"/>
      <c r="BC248" s="3"/>
      <c r="BD248" s="3"/>
      <c r="BE248" s="3"/>
      <c r="BF248" s="3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13.5" customHeight="1">
      <c r="A249" s="39"/>
      <c r="B249" s="23" t="s">
        <v>40</v>
      </c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 t="s">
        <v>41</v>
      </c>
      <c r="W249" s="23"/>
      <c r="X249" s="23"/>
      <c r="Y249" s="23" t="s">
        <v>42</v>
      </c>
      <c r="Z249" s="23"/>
      <c r="AA249" s="23"/>
      <c r="AB249" s="23"/>
      <c r="AC249" s="23" t="s">
        <v>43</v>
      </c>
      <c r="AD249" s="23"/>
      <c r="AE249" s="23"/>
      <c r="AF249" s="23" t="s">
        <v>44</v>
      </c>
      <c r="AG249" s="23"/>
      <c r="AH249" s="23"/>
      <c r="AI249" s="23" t="s">
        <v>45</v>
      </c>
      <c r="AJ249" s="23"/>
      <c r="AK249" s="23" t="s">
        <v>46</v>
      </c>
      <c r="AL249" s="23"/>
      <c r="AM249" s="23"/>
      <c r="AN249" s="23"/>
      <c r="AO249" s="23" t="s">
        <v>47</v>
      </c>
      <c r="AP249" s="23"/>
      <c r="AQ249" s="23"/>
      <c r="AR249" s="23" t="s">
        <v>48</v>
      </c>
      <c r="AS249" s="23"/>
      <c r="AT249" s="23"/>
      <c r="AU249" s="23" t="s">
        <v>49</v>
      </c>
      <c r="AV249" s="23"/>
      <c r="AW249" s="23"/>
      <c r="AX249" s="23" t="s">
        <v>50</v>
      </c>
      <c r="AY249" s="23"/>
      <c r="AZ249" s="23" t="s">
        <v>51</v>
      </c>
      <c r="BA249" s="23"/>
      <c r="BB249" s="23"/>
      <c r="BC249" s="23"/>
      <c r="BD249" s="23"/>
      <c r="BE249" s="23" t="s">
        <v>52</v>
      </c>
      <c r="BF249" s="23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41" t="s">
        <v>447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2" t="s">
        <v>448</v>
      </c>
      <c r="W250" s="42"/>
      <c r="X250" s="42"/>
      <c r="Y250" s="19" t="s">
        <v>74</v>
      </c>
      <c r="Z250" s="19"/>
      <c r="AA250" s="19"/>
      <c r="AB250" s="19"/>
      <c r="AC250" s="19" t="s">
        <v>74</v>
      </c>
      <c r="AD250" s="19"/>
      <c r="AE250" s="19"/>
      <c r="AF250" s="19" t="s">
        <v>74</v>
      </c>
      <c r="AG250" s="19"/>
      <c r="AH250" s="19"/>
      <c r="AI250" s="19" t="s">
        <v>74</v>
      </c>
      <c r="AJ250" s="19"/>
      <c r="AK250" s="19" t="s">
        <v>74</v>
      </c>
      <c r="AL250" s="19"/>
      <c r="AM250" s="19"/>
      <c r="AN250" s="19"/>
      <c r="AO250" s="19" t="s">
        <v>74</v>
      </c>
      <c r="AP250" s="19"/>
      <c r="AQ250" s="19"/>
      <c r="AR250" s="18">
        <f>97882</f>
        <v>97882</v>
      </c>
      <c r="AS250" s="18"/>
      <c r="AT250" s="18"/>
      <c r="AU250" s="19" t="s">
        <v>74</v>
      </c>
      <c r="AV250" s="19"/>
      <c r="AW250" s="19"/>
      <c r="AX250" s="19" t="s">
        <v>74</v>
      </c>
      <c r="AY250" s="19"/>
      <c r="AZ250" s="19" t="s">
        <v>74</v>
      </c>
      <c r="BA250" s="19"/>
      <c r="BB250" s="19"/>
      <c r="BC250" s="19"/>
      <c r="BD250" s="19"/>
      <c r="BE250" s="43">
        <f>97882</f>
        <v>97882</v>
      </c>
      <c r="BF250" s="43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44" t="s">
        <v>449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5" t="s">
        <v>450</v>
      </c>
      <c r="W251" s="45"/>
      <c r="X251" s="45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47" t="s">
        <v>451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8" t="s">
        <v>9</v>
      </c>
      <c r="W252" s="48"/>
      <c r="X252" s="48"/>
      <c r="Y252" s="49" t="s">
        <v>9</v>
      </c>
      <c r="Z252" s="49"/>
      <c r="AA252" s="49"/>
      <c r="AB252" s="49"/>
      <c r="AC252" s="49" t="s">
        <v>9</v>
      </c>
      <c r="AD252" s="49"/>
      <c r="AE252" s="49"/>
      <c r="AF252" s="49" t="s">
        <v>9</v>
      </c>
      <c r="AG252" s="49"/>
      <c r="AH252" s="49"/>
      <c r="AI252" s="49" t="s">
        <v>9</v>
      </c>
      <c r="AJ252" s="49"/>
      <c r="AK252" s="49" t="s">
        <v>9</v>
      </c>
      <c r="AL252" s="49"/>
      <c r="AM252" s="49"/>
      <c r="AN252" s="49"/>
      <c r="AO252" s="49" t="s">
        <v>9</v>
      </c>
      <c r="AP252" s="49"/>
      <c r="AQ252" s="49"/>
      <c r="AR252" s="49" t="s">
        <v>9</v>
      </c>
      <c r="AS252" s="49"/>
      <c r="AT252" s="49"/>
      <c r="AU252" s="49" t="s">
        <v>9</v>
      </c>
      <c r="AV252" s="49"/>
      <c r="AW252" s="49"/>
      <c r="AX252" s="49" t="s">
        <v>9</v>
      </c>
      <c r="AY252" s="49"/>
      <c r="AZ252" s="49" t="s">
        <v>9</v>
      </c>
      <c r="BA252" s="49"/>
      <c r="BB252" s="49"/>
      <c r="BC252" s="49"/>
      <c r="BD252" s="49"/>
      <c r="BE252" s="50" t="s">
        <v>9</v>
      </c>
      <c r="BF252" s="50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1" t="s">
        <v>9</v>
      </c>
      <c r="C253" s="52" t="s">
        <v>452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3" t="s">
        <v>453</v>
      </c>
      <c r="W253" s="53"/>
      <c r="X253" s="53"/>
      <c r="Y253" s="54" t="s">
        <v>74</v>
      </c>
      <c r="Z253" s="54"/>
      <c r="AA253" s="54"/>
      <c r="AB253" s="54"/>
      <c r="AC253" s="54" t="s">
        <v>74</v>
      </c>
      <c r="AD253" s="54"/>
      <c r="AE253" s="54"/>
      <c r="AF253" s="54" t="s">
        <v>74</v>
      </c>
      <c r="AG253" s="54"/>
      <c r="AH253" s="54"/>
      <c r="AI253" s="54" t="s">
        <v>74</v>
      </c>
      <c r="AJ253" s="54"/>
      <c r="AK253" s="54" t="s">
        <v>74</v>
      </c>
      <c r="AL253" s="54"/>
      <c r="AM253" s="54"/>
      <c r="AN253" s="54"/>
      <c r="AO253" s="54" t="s">
        <v>74</v>
      </c>
      <c r="AP253" s="54"/>
      <c r="AQ253" s="54"/>
      <c r="AR253" s="54" t="s">
        <v>74</v>
      </c>
      <c r="AS253" s="54"/>
      <c r="AT253" s="54"/>
      <c r="AU253" s="54" t="s">
        <v>74</v>
      </c>
      <c r="AV253" s="54"/>
      <c r="AW253" s="54"/>
      <c r="AX253" s="54" t="s">
        <v>74</v>
      </c>
      <c r="AY253" s="54"/>
      <c r="AZ253" s="54" t="s">
        <v>74</v>
      </c>
      <c r="BA253" s="54"/>
      <c r="BB253" s="54"/>
      <c r="BC253" s="54"/>
      <c r="BD253" s="54"/>
      <c r="BE253" s="55" t="s">
        <v>74</v>
      </c>
      <c r="BF253" s="55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6" t="s">
        <v>9</v>
      </c>
      <c r="C254" s="57" t="s">
        <v>454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455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6" t="s">
        <v>9</v>
      </c>
      <c r="C255" s="57" t="s">
        <v>456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457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216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458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459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460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24" customHeight="1">
      <c r="A258" s="39"/>
      <c r="B258" s="56" t="s">
        <v>9</v>
      </c>
      <c r="C258" s="57" t="s">
        <v>461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462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24" customHeight="1">
      <c r="A259" s="39"/>
      <c r="B259" s="56" t="s">
        <v>9</v>
      </c>
      <c r="C259" s="57" t="s">
        <v>463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464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56" t="s">
        <v>9</v>
      </c>
      <c r="C260" s="57" t="s">
        <v>465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466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24" customHeight="1">
      <c r="A261" s="39"/>
      <c r="B261" s="56" t="s">
        <v>9</v>
      </c>
      <c r="C261" s="57" t="s">
        <v>467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468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24" customHeight="1">
      <c r="A262" s="39"/>
      <c r="B262" s="44" t="s">
        <v>469</v>
      </c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5" t="s">
        <v>470</v>
      </c>
      <c r="W262" s="45"/>
      <c r="X262" s="45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47" t="s">
        <v>451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8" t="s">
        <v>9</v>
      </c>
      <c r="W263" s="48"/>
      <c r="X263" s="48"/>
      <c r="Y263" s="49" t="s">
        <v>9</v>
      </c>
      <c r="Z263" s="49"/>
      <c r="AA263" s="49"/>
      <c r="AB263" s="49"/>
      <c r="AC263" s="49" t="s">
        <v>9</v>
      </c>
      <c r="AD263" s="49"/>
      <c r="AE263" s="49"/>
      <c r="AF263" s="49" t="s">
        <v>9</v>
      </c>
      <c r="AG263" s="49"/>
      <c r="AH263" s="49"/>
      <c r="AI263" s="49" t="s">
        <v>9</v>
      </c>
      <c r="AJ263" s="49"/>
      <c r="AK263" s="49" t="s">
        <v>9</v>
      </c>
      <c r="AL263" s="49"/>
      <c r="AM263" s="49"/>
      <c r="AN263" s="49"/>
      <c r="AO263" s="49" t="s">
        <v>9</v>
      </c>
      <c r="AP263" s="49"/>
      <c r="AQ263" s="49"/>
      <c r="AR263" s="49" t="s">
        <v>9</v>
      </c>
      <c r="AS263" s="49"/>
      <c r="AT263" s="49"/>
      <c r="AU263" s="49" t="s">
        <v>9</v>
      </c>
      <c r="AV263" s="49"/>
      <c r="AW263" s="49"/>
      <c r="AX263" s="49" t="s">
        <v>9</v>
      </c>
      <c r="AY263" s="49"/>
      <c r="AZ263" s="49" t="s">
        <v>9</v>
      </c>
      <c r="BA263" s="49"/>
      <c r="BB263" s="49"/>
      <c r="BC263" s="49"/>
      <c r="BD263" s="49"/>
      <c r="BE263" s="50" t="s">
        <v>9</v>
      </c>
      <c r="BF263" s="50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1" t="s">
        <v>9</v>
      </c>
      <c r="C264" s="52" t="s">
        <v>452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3" t="s">
        <v>471</v>
      </c>
      <c r="W264" s="53"/>
      <c r="X264" s="53"/>
      <c r="Y264" s="54" t="s">
        <v>74</v>
      </c>
      <c r="Z264" s="54"/>
      <c r="AA264" s="54"/>
      <c r="AB264" s="54"/>
      <c r="AC264" s="54" t="s">
        <v>74</v>
      </c>
      <c r="AD264" s="54"/>
      <c r="AE264" s="54"/>
      <c r="AF264" s="54" t="s">
        <v>74</v>
      </c>
      <c r="AG264" s="54"/>
      <c r="AH264" s="54"/>
      <c r="AI264" s="54" t="s">
        <v>74</v>
      </c>
      <c r="AJ264" s="54"/>
      <c r="AK264" s="54" t="s">
        <v>74</v>
      </c>
      <c r="AL264" s="54"/>
      <c r="AM264" s="54"/>
      <c r="AN264" s="54"/>
      <c r="AO264" s="54" t="s">
        <v>74</v>
      </c>
      <c r="AP264" s="54"/>
      <c r="AQ264" s="54"/>
      <c r="AR264" s="54" t="s">
        <v>74</v>
      </c>
      <c r="AS264" s="54"/>
      <c r="AT264" s="54"/>
      <c r="AU264" s="54" t="s">
        <v>74</v>
      </c>
      <c r="AV264" s="54"/>
      <c r="AW264" s="54"/>
      <c r="AX264" s="54" t="s">
        <v>74</v>
      </c>
      <c r="AY264" s="54"/>
      <c r="AZ264" s="54" t="s">
        <v>74</v>
      </c>
      <c r="BA264" s="54"/>
      <c r="BB264" s="54"/>
      <c r="BC264" s="54"/>
      <c r="BD264" s="54"/>
      <c r="BE264" s="55" t="s">
        <v>74</v>
      </c>
      <c r="BF264" s="55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6" t="s">
        <v>9</v>
      </c>
      <c r="C265" s="57" t="s">
        <v>454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472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6" t="s">
        <v>9</v>
      </c>
      <c r="C266" s="57" t="s">
        <v>456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473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216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474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459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475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24" customHeight="1">
      <c r="A269" s="39"/>
      <c r="B269" s="56" t="s">
        <v>9</v>
      </c>
      <c r="C269" s="57" t="s">
        <v>461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476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24" customHeight="1">
      <c r="A270" s="39"/>
      <c r="B270" s="56" t="s">
        <v>9</v>
      </c>
      <c r="C270" s="57" t="s">
        <v>463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477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56" t="s">
        <v>9</v>
      </c>
      <c r="C271" s="57" t="s">
        <v>465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478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24" customHeight="1">
      <c r="A272" s="39"/>
      <c r="B272" s="56" t="s">
        <v>9</v>
      </c>
      <c r="C272" s="57" t="s">
        <v>467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479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44" t="s">
        <v>480</v>
      </c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5" t="s">
        <v>481</v>
      </c>
      <c r="W273" s="45"/>
      <c r="X273" s="45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47" t="s">
        <v>451</v>
      </c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8" t="s">
        <v>9</v>
      </c>
      <c r="W274" s="48"/>
      <c r="X274" s="48"/>
      <c r="Y274" s="49" t="s">
        <v>9</v>
      </c>
      <c r="Z274" s="49"/>
      <c r="AA274" s="49"/>
      <c r="AB274" s="49"/>
      <c r="AC274" s="49" t="s">
        <v>9</v>
      </c>
      <c r="AD274" s="49"/>
      <c r="AE274" s="49"/>
      <c r="AF274" s="49" t="s">
        <v>9</v>
      </c>
      <c r="AG274" s="49"/>
      <c r="AH274" s="49"/>
      <c r="AI274" s="49" t="s">
        <v>9</v>
      </c>
      <c r="AJ274" s="49"/>
      <c r="AK274" s="49" t="s">
        <v>9</v>
      </c>
      <c r="AL274" s="49"/>
      <c r="AM274" s="49"/>
      <c r="AN274" s="49"/>
      <c r="AO274" s="49" t="s">
        <v>9</v>
      </c>
      <c r="AP274" s="49"/>
      <c r="AQ274" s="49"/>
      <c r="AR274" s="49" t="s">
        <v>9</v>
      </c>
      <c r="AS274" s="49"/>
      <c r="AT274" s="49"/>
      <c r="AU274" s="49" t="s">
        <v>9</v>
      </c>
      <c r="AV274" s="49"/>
      <c r="AW274" s="49"/>
      <c r="AX274" s="49" t="s">
        <v>9</v>
      </c>
      <c r="AY274" s="49"/>
      <c r="AZ274" s="49" t="s">
        <v>9</v>
      </c>
      <c r="BA274" s="49"/>
      <c r="BB274" s="49"/>
      <c r="BC274" s="49"/>
      <c r="BD274" s="49"/>
      <c r="BE274" s="50" t="s">
        <v>9</v>
      </c>
      <c r="BF274" s="50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1" t="s">
        <v>9</v>
      </c>
      <c r="C275" s="52" t="s">
        <v>452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3" t="s">
        <v>482</v>
      </c>
      <c r="W275" s="53"/>
      <c r="X275" s="53"/>
      <c r="Y275" s="54" t="s">
        <v>74</v>
      </c>
      <c r="Z275" s="54"/>
      <c r="AA275" s="54"/>
      <c r="AB275" s="54"/>
      <c r="AC275" s="54" t="s">
        <v>74</v>
      </c>
      <c r="AD275" s="54"/>
      <c r="AE275" s="54"/>
      <c r="AF275" s="54" t="s">
        <v>74</v>
      </c>
      <c r="AG275" s="54"/>
      <c r="AH275" s="54"/>
      <c r="AI275" s="54" t="s">
        <v>74</v>
      </c>
      <c r="AJ275" s="54"/>
      <c r="AK275" s="54" t="s">
        <v>74</v>
      </c>
      <c r="AL275" s="54"/>
      <c r="AM275" s="54"/>
      <c r="AN275" s="54"/>
      <c r="AO275" s="54" t="s">
        <v>74</v>
      </c>
      <c r="AP275" s="54"/>
      <c r="AQ275" s="54"/>
      <c r="AR275" s="54" t="s">
        <v>74</v>
      </c>
      <c r="AS275" s="54"/>
      <c r="AT275" s="54"/>
      <c r="AU275" s="54" t="s">
        <v>74</v>
      </c>
      <c r="AV275" s="54"/>
      <c r="AW275" s="54"/>
      <c r="AX275" s="54" t="s">
        <v>74</v>
      </c>
      <c r="AY275" s="54"/>
      <c r="AZ275" s="54" t="s">
        <v>74</v>
      </c>
      <c r="BA275" s="54"/>
      <c r="BB275" s="54"/>
      <c r="BC275" s="54"/>
      <c r="BD275" s="54"/>
      <c r="BE275" s="55" t="s">
        <v>74</v>
      </c>
      <c r="BF275" s="55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6" t="s">
        <v>9</v>
      </c>
      <c r="C276" s="57" t="s">
        <v>454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483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6" t="s">
        <v>9</v>
      </c>
      <c r="C277" s="57" t="s">
        <v>456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484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216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485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459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486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24" customHeight="1">
      <c r="A280" s="39"/>
      <c r="B280" s="56" t="s">
        <v>9</v>
      </c>
      <c r="C280" s="57" t="s">
        <v>461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487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24" customHeight="1">
      <c r="A281" s="39"/>
      <c r="B281" s="56" t="s">
        <v>9</v>
      </c>
      <c r="C281" s="57" t="s">
        <v>463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488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56" t="s">
        <v>9</v>
      </c>
      <c r="C282" s="57" t="s">
        <v>465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489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24" customHeight="1">
      <c r="A283" s="39"/>
      <c r="B283" s="56" t="s">
        <v>9</v>
      </c>
      <c r="C283" s="57" t="s">
        <v>467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490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44" t="s">
        <v>491</v>
      </c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5" t="s">
        <v>492</v>
      </c>
      <c r="W284" s="45"/>
      <c r="X284" s="45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47" t="s">
        <v>451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8" t="s">
        <v>9</v>
      </c>
      <c r="W285" s="48"/>
      <c r="X285" s="48"/>
      <c r="Y285" s="49" t="s">
        <v>9</v>
      </c>
      <c r="Z285" s="49"/>
      <c r="AA285" s="49"/>
      <c r="AB285" s="49"/>
      <c r="AC285" s="49" t="s">
        <v>9</v>
      </c>
      <c r="AD285" s="49"/>
      <c r="AE285" s="49"/>
      <c r="AF285" s="49" t="s">
        <v>9</v>
      </c>
      <c r="AG285" s="49"/>
      <c r="AH285" s="49"/>
      <c r="AI285" s="49" t="s">
        <v>9</v>
      </c>
      <c r="AJ285" s="49"/>
      <c r="AK285" s="49" t="s">
        <v>9</v>
      </c>
      <c r="AL285" s="49"/>
      <c r="AM285" s="49"/>
      <c r="AN285" s="49"/>
      <c r="AO285" s="49" t="s">
        <v>9</v>
      </c>
      <c r="AP285" s="49"/>
      <c r="AQ285" s="49"/>
      <c r="AR285" s="49" t="s">
        <v>9</v>
      </c>
      <c r="AS285" s="49"/>
      <c r="AT285" s="49"/>
      <c r="AU285" s="49" t="s">
        <v>9</v>
      </c>
      <c r="AV285" s="49"/>
      <c r="AW285" s="49"/>
      <c r="AX285" s="49" t="s">
        <v>9</v>
      </c>
      <c r="AY285" s="49"/>
      <c r="AZ285" s="49" t="s">
        <v>9</v>
      </c>
      <c r="BA285" s="49"/>
      <c r="BB285" s="49"/>
      <c r="BC285" s="49"/>
      <c r="BD285" s="49"/>
      <c r="BE285" s="50" t="s">
        <v>9</v>
      </c>
      <c r="BF285" s="50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1" t="s">
        <v>9</v>
      </c>
      <c r="C286" s="52" t="s">
        <v>452</v>
      </c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3" t="s">
        <v>493</v>
      </c>
      <c r="W286" s="53"/>
      <c r="X286" s="53"/>
      <c r="Y286" s="54" t="s">
        <v>74</v>
      </c>
      <c r="Z286" s="54"/>
      <c r="AA286" s="54"/>
      <c r="AB286" s="54"/>
      <c r="AC286" s="54" t="s">
        <v>74</v>
      </c>
      <c r="AD286" s="54"/>
      <c r="AE286" s="54"/>
      <c r="AF286" s="54" t="s">
        <v>74</v>
      </c>
      <c r="AG286" s="54"/>
      <c r="AH286" s="54"/>
      <c r="AI286" s="54" t="s">
        <v>74</v>
      </c>
      <c r="AJ286" s="54"/>
      <c r="AK286" s="54" t="s">
        <v>74</v>
      </c>
      <c r="AL286" s="54"/>
      <c r="AM286" s="54"/>
      <c r="AN286" s="54"/>
      <c r="AO286" s="54" t="s">
        <v>74</v>
      </c>
      <c r="AP286" s="54"/>
      <c r="AQ286" s="54"/>
      <c r="AR286" s="54" t="s">
        <v>74</v>
      </c>
      <c r="AS286" s="54"/>
      <c r="AT286" s="54"/>
      <c r="AU286" s="54" t="s">
        <v>74</v>
      </c>
      <c r="AV286" s="54"/>
      <c r="AW286" s="54"/>
      <c r="AX286" s="54" t="s">
        <v>74</v>
      </c>
      <c r="AY286" s="54"/>
      <c r="AZ286" s="54" t="s">
        <v>74</v>
      </c>
      <c r="BA286" s="54"/>
      <c r="BB286" s="54"/>
      <c r="BC286" s="54"/>
      <c r="BD286" s="54"/>
      <c r="BE286" s="55" t="s">
        <v>74</v>
      </c>
      <c r="BF286" s="55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6" t="s">
        <v>9</v>
      </c>
      <c r="C287" s="57" t="s">
        <v>454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494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6" t="s">
        <v>9</v>
      </c>
      <c r="C288" s="57" t="s">
        <v>456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495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216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496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459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497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24" customHeight="1">
      <c r="A291" s="39"/>
      <c r="B291" s="56" t="s">
        <v>9</v>
      </c>
      <c r="C291" s="57" t="s">
        <v>461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498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24" customHeight="1">
      <c r="A292" s="39"/>
      <c r="B292" s="56" t="s">
        <v>9</v>
      </c>
      <c r="C292" s="57" t="s">
        <v>463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499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56" t="s">
        <v>9</v>
      </c>
      <c r="C293" s="57" t="s">
        <v>465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500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24" customHeight="1">
      <c r="A294" s="39"/>
      <c r="B294" s="56" t="s">
        <v>9</v>
      </c>
      <c r="C294" s="57" t="s">
        <v>467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501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44" t="s">
        <v>502</v>
      </c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5" t="s">
        <v>503</v>
      </c>
      <c r="W295" s="45"/>
      <c r="X295" s="45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47" t="s">
        <v>451</v>
      </c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8" t="s">
        <v>9</v>
      </c>
      <c r="W296" s="48"/>
      <c r="X296" s="48"/>
      <c r="Y296" s="49" t="s">
        <v>9</v>
      </c>
      <c r="Z296" s="49"/>
      <c r="AA296" s="49"/>
      <c r="AB296" s="49"/>
      <c r="AC296" s="49" t="s">
        <v>9</v>
      </c>
      <c r="AD296" s="49"/>
      <c r="AE296" s="49"/>
      <c r="AF296" s="49" t="s">
        <v>9</v>
      </c>
      <c r="AG296" s="49"/>
      <c r="AH296" s="49"/>
      <c r="AI296" s="49" t="s">
        <v>9</v>
      </c>
      <c r="AJ296" s="49"/>
      <c r="AK296" s="49" t="s">
        <v>9</v>
      </c>
      <c r="AL296" s="49"/>
      <c r="AM296" s="49"/>
      <c r="AN296" s="49"/>
      <c r="AO296" s="49" t="s">
        <v>9</v>
      </c>
      <c r="AP296" s="49"/>
      <c r="AQ296" s="49"/>
      <c r="AR296" s="49" t="s">
        <v>9</v>
      </c>
      <c r="AS296" s="49"/>
      <c r="AT296" s="49"/>
      <c r="AU296" s="49" t="s">
        <v>9</v>
      </c>
      <c r="AV296" s="49"/>
      <c r="AW296" s="49"/>
      <c r="AX296" s="49" t="s">
        <v>9</v>
      </c>
      <c r="AY296" s="49"/>
      <c r="AZ296" s="49" t="s">
        <v>9</v>
      </c>
      <c r="BA296" s="49"/>
      <c r="BB296" s="49"/>
      <c r="BC296" s="49"/>
      <c r="BD296" s="49"/>
      <c r="BE296" s="50" t="s">
        <v>9</v>
      </c>
      <c r="BF296" s="50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1" t="s">
        <v>9</v>
      </c>
      <c r="C297" s="52" t="s">
        <v>452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3" t="s">
        <v>504</v>
      </c>
      <c r="W297" s="53"/>
      <c r="X297" s="53"/>
      <c r="Y297" s="54" t="s">
        <v>74</v>
      </c>
      <c r="Z297" s="54"/>
      <c r="AA297" s="54"/>
      <c r="AB297" s="54"/>
      <c r="AC297" s="54" t="s">
        <v>74</v>
      </c>
      <c r="AD297" s="54"/>
      <c r="AE297" s="54"/>
      <c r="AF297" s="54" t="s">
        <v>74</v>
      </c>
      <c r="AG297" s="54"/>
      <c r="AH297" s="54"/>
      <c r="AI297" s="54" t="s">
        <v>74</v>
      </c>
      <c r="AJ297" s="54"/>
      <c r="AK297" s="54" t="s">
        <v>74</v>
      </c>
      <c r="AL297" s="54"/>
      <c r="AM297" s="54"/>
      <c r="AN297" s="54"/>
      <c r="AO297" s="54" t="s">
        <v>74</v>
      </c>
      <c r="AP297" s="54"/>
      <c r="AQ297" s="54"/>
      <c r="AR297" s="54" t="s">
        <v>74</v>
      </c>
      <c r="AS297" s="54"/>
      <c r="AT297" s="54"/>
      <c r="AU297" s="54" t="s">
        <v>74</v>
      </c>
      <c r="AV297" s="54"/>
      <c r="AW297" s="54"/>
      <c r="AX297" s="54" t="s">
        <v>74</v>
      </c>
      <c r="AY297" s="54"/>
      <c r="AZ297" s="54" t="s">
        <v>74</v>
      </c>
      <c r="BA297" s="54"/>
      <c r="BB297" s="54"/>
      <c r="BC297" s="54"/>
      <c r="BD297" s="54"/>
      <c r="BE297" s="55" t="s">
        <v>74</v>
      </c>
      <c r="BF297" s="55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6" t="s">
        <v>9</v>
      </c>
      <c r="C298" s="57" t="s">
        <v>454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505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6" t="s">
        <v>9</v>
      </c>
      <c r="C299" s="57" t="s">
        <v>456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506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216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507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459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508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24" customHeight="1">
      <c r="A302" s="39"/>
      <c r="B302" s="56" t="s">
        <v>9</v>
      </c>
      <c r="C302" s="57" t="s">
        <v>461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509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24" customHeight="1">
      <c r="A303" s="39"/>
      <c r="B303" s="56" t="s">
        <v>9</v>
      </c>
      <c r="C303" s="57" t="s">
        <v>463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510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56" t="s">
        <v>9</v>
      </c>
      <c r="C304" s="57" t="s">
        <v>465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511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24" customHeight="1">
      <c r="A305" s="39"/>
      <c r="B305" s="56" t="s">
        <v>9</v>
      </c>
      <c r="C305" s="57" t="s">
        <v>467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512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24" customHeight="1">
      <c r="A306" s="39"/>
      <c r="B306" s="44" t="s">
        <v>513</v>
      </c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5" t="s">
        <v>514</v>
      </c>
      <c r="W306" s="45"/>
      <c r="X306" s="45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47" t="s">
        <v>451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8" t="s">
        <v>9</v>
      </c>
      <c r="W307" s="48"/>
      <c r="X307" s="48"/>
      <c r="Y307" s="49" t="s">
        <v>9</v>
      </c>
      <c r="Z307" s="49"/>
      <c r="AA307" s="49"/>
      <c r="AB307" s="49"/>
      <c r="AC307" s="49" t="s">
        <v>9</v>
      </c>
      <c r="AD307" s="49"/>
      <c r="AE307" s="49"/>
      <c r="AF307" s="49" t="s">
        <v>9</v>
      </c>
      <c r="AG307" s="49"/>
      <c r="AH307" s="49"/>
      <c r="AI307" s="49" t="s">
        <v>9</v>
      </c>
      <c r="AJ307" s="49"/>
      <c r="AK307" s="49" t="s">
        <v>9</v>
      </c>
      <c r="AL307" s="49"/>
      <c r="AM307" s="49"/>
      <c r="AN307" s="49"/>
      <c r="AO307" s="49" t="s">
        <v>9</v>
      </c>
      <c r="AP307" s="49"/>
      <c r="AQ307" s="49"/>
      <c r="AR307" s="49" t="s">
        <v>9</v>
      </c>
      <c r="AS307" s="49"/>
      <c r="AT307" s="49"/>
      <c r="AU307" s="49" t="s">
        <v>9</v>
      </c>
      <c r="AV307" s="49"/>
      <c r="AW307" s="49"/>
      <c r="AX307" s="49" t="s">
        <v>9</v>
      </c>
      <c r="AY307" s="49"/>
      <c r="AZ307" s="49" t="s">
        <v>9</v>
      </c>
      <c r="BA307" s="49"/>
      <c r="BB307" s="49"/>
      <c r="BC307" s="49"/>
      <c r="BD307" s="49"/>
      <c r="BE307" s="50" t="s">
        <v>9</v>
      </c>
      <c r="BF307" s="50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1" t="s">
        <v>9</v>
      </c>
      <c r="C308" s="52" t="s">
        <v>452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3" t="s">
        <v>515</v>
      </c>
      <c r="W308" s="53"/>
      <c r="X308" s="53"/>
      <c r="Y308" s="54" t="s">
        <v>74</v>
      </c>
      <c r="Z308" s="54"/>
      <c r="AA308" s="54"/>
      <c r="AB308" s="54"/>
      <c r="AC308" s="54" t="s">
        <v>74</v>
      </c>
      <c r="AD308" s="54"/>
      <c r="AE308" s="54"/>
      <c r="AF308" s="54" t="s">
        <v>74</v>
      </c>
      <c r="AG308" s="54"/>
      <c r="AH308" s="54"/>
      <c r="AI308" s="54" t="s">
        <v>74</v>
      </c>
      <c r="AJ308" s="54"/>
      <c r="AK308" s="54" t="s">
        <v>74</v>
      </c>
      <c r="AL308" s="54"/>
      <c r="AM308" s="54"/>
      <c r="AN308" s="54"/>
      <c r="AO308" s="54" t="s">
        <v>74</v>
      </c>
      <c r="AP308" s="54"/>
      <c r="AQ308" s="54"/>
      <c r="AR308" s="54" t="s">
        <v>74</v>
      </c>
      <c r="AS308" s="54"/>
      <c r="AT308" s="54"/>
      <c r="AU308" s="54" t="s">
        <v>74</v>
      </c>
      <c r="AV308" s="54"/>
      <c r="AW308" s="54"/>
      <c r="AX308" s="54" t="s">
        <v>74</v>
      </c>
      <c r="AY308" s="54"/>
      <c r="AZ308" s="54" t="s">
        <v>74</v>
      </c>
      <c r="BA308" s="54"/>
      <c r="BB308" s="54"/>
      <c r="BC308" s="54"/>
      <c r="BD308" s="54"/>
      <c r="BE308" s="55" t="s">
        <v>74</v>
      </c>
      <c r="BF308" s="55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6" t="s">
        <v>9</v>
      </c>
      <c r="C309" s="57" t="s">
        <v>454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516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6" t="s">
        <v>9</v>
      </c>
      <c r="C310" s="57" t="s">
        <v>456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517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216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518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459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519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24" customHeight="1">
      <c r="A313" s="39"/>
      <c r="B313" s="56" t="s">
        <v>9</v>
      </c>
      <c r="C313" s="57" t="s">
        <v>461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520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24" customHeight="1">
      <c r="A314" s="39"/>
      <c r="B314" s="56" t="s">
        <v>9</v>
      </c>
      <c r="C314" s="57" t="s">
        <v>463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521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56" t="s">
        <v>9</v>
      </c>
      <c r="C315" s="57" t="s">
        <v>465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522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24" customHeight="1">
      <c r="A316" s="39"/>
      <c r="B316" s="56" t="s">
        <v>9</v>
      </c>
      <c r="C316" s="57" t="s">
        <v>467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523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44" t="s">
        <v>524</v>
      </c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5" t="s">
        <v>525</v>
      </c>
      <c r="W317" s="45"/>
      <c r="X317" s="45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47" t="s">
        <v>451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8" t="s">
        <v>9</v>
      </c>
      <c r="W318" s="48"/>
      <c r="X318" s="48"/>
      <c r="Y318" s="49" t="s">
        <v>9</v>
      </c>
      <c r="Z318" s="49"/>
      <c r="AA318" s="49"/>
      <c r="AB318" s="49"/>
      <c r="AC318" s="49" t="s">
        <v>9</v>
      </c>
      <c r="AD318" s="49"/>
      <c r="AE318" s="49"/>
      <c r="AF318" s="49" t="s">
        <v>9</v>
      </c>
      <c r="AG318" s="49"/>
      <c r="AH318" s="49"/>
      <c r="AI318" s="49" t="s">
        <v>9</v>
      </c>
      <c r="AJ318" s="49"/>
      <c r="AK318" s="49" t="s">
        <v>9</v>
      </c>
      <c r="AL318" s="49"/>
      <c r="AM318" s="49"/>
      <c r="AN318" s="49"/>
      <c r="AO318" s="49" t="s">
        <v>9</v>
      </c>
      <c r="AP318" s="49"/>
      <c r="AQ318" s="49"/>
      <c r="AR318" s="49" t="s">
        <v>9</v>
      </c>
      <c r="AS318" s="49"/>
      <c r="AT318" s="49"/>
      <c r="AU318" s="49" t="s">
        <v>9</v>
      </c>
      <c r="AV318" s="49"/>
      <c r="AW318" s="49"/>
      <c r="AX318" s="49" t="s">
        <v>9</v>
      </c>
      <c r="AY318" s="49"/>
      <c r="AZ318" s="49" t="s">
        <v>9</v>
      </c>
      <c r="BA318" s="49"/>
      <c r="BB318" s="49"/>
      <c r="BC318" s="49"/>
      <c r="BD318" s="49"/>
      <c r="BE318" s="50" t="s">
        <v>9</v>
      </c>
      <c r="BF318" s="50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1" t="s">
        <v>9</v>
      </c>
      <c r="C319" s="52" t="s">
        <v>452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3" t="s">
        <v>526</v>
      </c>
      <c r="W319" s="53"/>
      <c r="X319" s="53"/>
      <c r="Y319" s="54" t="s">
        <v>74</v>
      </c>
      <c r="Z319" s="54"/>
      <c r="AA319" s="54"/>
      <c r="AB319" s="54"/>
      <c r="AC319" s="54" t="s">
        <v>74</v>
      </c>
      <c r="AD319" s="54"/>
      <c r="AE319" s="54"/>
      <c r="AF319" s="54" t="s">
        <v>74</v>
      </c>
      <c r="AG319" s="54"/>
      <c r="AH319" s="54"/>
      <c r="AI319" s="54" t="s">
        <v>74</v>
      </c>
      <c r="AJ319" s="54"/>
      <c r="AK319" s="54" t="s">
        <v>74</v>
      </c>
      <c r="AL319" s="54"/>
      <c r="AM319" s="54"/>
      <c r="AN319" s="54"/>
      <c r="AO319" s="54" t="s">
        <v>74</v>
      </c>
      <c r="AP319" s="54"/>
      <c r="AQ319" s="54"/>
      <c r="AR319" s="54" t="s">
        <v>74</v>
      </c>
      <c r="AS319" s="54"/>
      <c r="AT319" s="54"/>
      <c r="AU319" s="54" t="s">
        <v>74</v>
      </c>
      <c r="AV319" s="54"/>
      <c r="AW319" s="54"/>
      <c r="AX319" s="54" t="s">
        <v>74</v>
      </c>
      <c r="AY319" s="54"/>
      <c r="AZ319" s="54" t="s">
        <v>74</v>
      </c>
      <c r="BA319" s="54"/>
      <c r="BB319" s="54"/>
      <c r="BC319" s="54"/>
      <c r="BD319" s="54"/>
      <c r="BE319" s="55" t="s">
        <v>74</v>
      </c>
      <c r="BF319" s="55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6" t="s">
        <v>9</v>
      </c>
      <c r="C320" s="57" t="s">
        <v>454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527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6" t="s">
        <v>9</v>
      </c>
      <c r="C321" s="57" t="s">
        <v>456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528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6" t="s">
        <v>9</v>
      </c>
      <c r="C322" s="57" t="s">
        <v>216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529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459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530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24" customHeight="1">
      <c r="A324" s="39"/>
      <c r="B324" s="56" t="s">
        <v>9</v>
      </c>
      <c r="C324" s="57" t="s">
        <v>461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531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24" customHeight="1">
      <c r="A325" s="39"/>
      <c r="B325" s="56" t="s">
        <v>9</v>
      </c>
      <c r="C325" s="57" t="s">
        <v>463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532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56" t="s">
        <v>9</v>
      </c>
      <c r="C326" s="57" t="s">
        <v>465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533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24" customHeight="1">
      <c r="A327" s="39"/>
      <c r="B327" s="56" t="s">
        <v>9</v>
      </c>
      <c r="C327" s="57" t="s">
        <v>467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534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44" t="s">
        <v>535</v>
      </c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5" t="s">
        <v>536</v>
      </c>
      <c r="W328" s="45"/>
      <c r="X328" s="45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47" t="s">
        <v>451</v>
      </c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8" t="s">
        <v>9</v>
      </c>
      <c r="W329" s="48"/>
      <c r="X329" s="48"/>
      <c r="Y329" s="49" t="s">
        <v>9</v>
      </c>
      <c r="Z329" s="49"/>
      <c r="AA329" s="49"/>
      <c r="AB329" s="49"/>
      <c r="AC329" s="49" t="s">
        <v>9</v>
      </c>
      <c r="AD329" s="49"/>
      <c r="AE329" s="49"/>
      <c r="AF329" s="49" t="s">
        <v>9</v>
      </c>
      <c r="AG329" s="49"/>
      <c r="AH329" s="49"/>
      <c r="AI329" s="49" t="s">
        <v>9</v>
      </c>
      <c r="AJ329" s="49"/>
      <c r="AK329" s="49" t="s">
        <v>9</v>
      </c>
      <c r="AL329" s="49"/>
      <c r="AM329" s="49"/>
      <c r="AN329" s="49"/>
      <c r="AO329" s="49" t="s">
        <v>9</v>
      </c>
      <c r="AP329" s="49"/>
      <c r="AQ329" s="49"/>
      <c r="AR329" s="49" t="s">
        <v>9</v>
      </c>
      <c r="AS329" s="49"/>
      <c r="AT329" s="49"/>
      <c r="AU329" s="49" t="s">
        <v>9</v>
      </c>
      <c r="AV329" s="49"/>
      <c r="AW329" s="49"/>
      <c r="AX329" s="49" t="s">
        <v>9</v>
      </c>
      <c r="AY329" s="49"/>
      <c r="AZ329" s="49" t="s">
        <v>9</v>
      </c>
      <c r="BA329" s="49"/>
      <c r="BB329" s="49"/>
      <c r="BC329" s="49"/>
      <c r="BD329" s="49"/>
      <c r="BE329" s="50" t="s">
        <v>9</v>
      </c>
      <c r="BF329" s="50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1" t="s">
        <v>9</v>
      </c>
      <c r="C330" s="52" t="s">
        <v>452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3" t="s">
        <v>537</v>
      </c>
      <c r="W330" s="53"/>
      <c r="X330" s="53"/>
      <c r="Y330" s="54" t="s">
        <v>74</v>
      </c>
      <c r="Z330" s="54"/>
      <c r="AA330" s="54"/>
      <c r="AB330" s="54"/>
      <c r="AC330" s="54" t="s">
        <v>74</v>
      </c>
      <c r="AD330" s="54"/>
      <c r="AE330" s="54"/>
      <c r="AF330" s="54" t="s">
        <v>74</v>
      </c>
      <c r="AG330" s="54"/>
      <c r="AH330" s="54"/>
      <c r="AI330" s="54" t="s">
        <v>74</v>
      </c>
      <c r="AJ330" s="54"/>
      <c r="AK330" s="54" t="s">
        <v>74</v>
      </c>
      <c r="AL330" s="54"/>
      <c r="AM330" s="54"/>
      <c r="AN330" s="54"/>
      <c r="AO330" s="54" t="s">
        <v>74</v>
      </c>
      <c r="AP330" s="54"/>
      <c r="AQ330" s="54"/>
      <c r="AR330" s="54" t="s">
        <v>74</v>
      </c>
      <c r="AS330" s="54"/>
      <c r="AT330" s="54"/>
      <c r="AU330" s="54" t="s">
        <v>74</v>
      </c>
      <c r="AV330" s="54"/>
      <c r="AW330" s="54"/>
      <c r="AX330" s="54" t="s">
        <v>74</v>
      </c>
      <c r="AY330" s="54"/>
      <c r="AZ330" s="54" t="s">
        <v>74</v>
      </c>
      <c r="BA330" s="54"/>
      <c r="BB330" s="54"/>
      <c r="BC330" s="54"/>
      <c r="BD330" s="54"/>
      <c r="BE330" s="55" t="s">
        <v>74</v>
      </c>
      <c r="BF330" s="55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6" t="s">
        <v>9</v>
      </c>
      <c r="C331" s="57" t="s">
        <v>454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538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6" t="s">
        <v>9</v>
      </c>
      <c r="C332" s="57" t="s">
        <v>456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539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6" t="s">
        <v>9</v>
      </c>
      <c r="C333" s="57" t="s">
        <v>216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540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459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541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24" customHeight="1">
      <c r="A335" s="39"/>
      <c r="B335" s="56" t="s">
        <v>9</v>
      </c>
      <c r="C335" s="57" t="s">
        <v>461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542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24" customHeight="1">
      <c r="A336" s="39"/>
      <c r="B336" s="56" t="s">
        <v>9</v>
      </c>
      <c r="C336" s="57" t="s">
        <v>463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543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56" t="s">
        <v>9</v>
      </c>
      <c r="C337" s="57" t="s">
        <v>465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544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24" customHeight="1">
      <c r="A338" s="39"/>
      <c r="B338" s="56" t="s">
        <v>9</v>
      </c>
      <c r="C338" s="57" t="s">
        <v>467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545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44" t="s">
        <v>546</v>
      </c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5" t="s">
        <v>547</v>
      </c>
      <c r="W339" s="45"/>
      <c r="X339" s="45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4">
        <f>97882</f>
        <v>97882</v>
      </c>
      <c r="AS339" s="24"/>
      <c r="AT339" s="24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59">
        <f>97882</f>
        <v>97882</v>
      </c>
      <c r="BF339" s="5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47" t="s">
        <v>451</v>
      </c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8" t="s">
        <v>9</v>
      </c>
      <c r="W340" s="48"/>
      <c r="X340" s="48"/>
      <c r="Y340" s="49" t="s">
        <v>9</v>
      </c>
      <c r="Z340" s="49"/>
      <c r="AA340" s="49"/>
      <c r="AB340" s="49"/>
      <c r="AC340" s="49" t="s">
        <v>9</v>
      </c>
      <c r="AD340" s="49"/>
      <c r="AE340" s="49"/>
      <c r="AF340" s="49" t="s">
        <v>9</v>
      </c>
      <c r="AG340" s="49"/>
      <c r="AH340" s="49"/>
      <c r="AI340" s="49" t="s">
        <v>9</v>
      </c>
      <c r="AJ340" s="49"/>
      <c r="AK340" s="49" t="s">
        <v>9</v>
      </c>
      <c r="AL340" s="49"/>
      <c r="AM340" s="49"/>
      <c r="AN340" s="49"/>
      <c r="AO340" s="49" t="s">
        <v>9</v>
      </c>
      <c r="AP340" s="49"/>
      <c r="AQ340" s="49"/>
      <c r="AR340" s="49" t="s">
        <v>9</v>
      </c>
      <c r="AS340" s="49"/>
      <c r="AT340" s="49"/>
      <c r="AU340" s="49" t="s">
        <v>9</v>
      </c>
      <c r="AV340" s="49"/>
      <c r="AW340" s="49"/>
      <c r="AX340" s="49" t="s">
        <v>9</v>
      </c>
      <c r="AY340" s="49"/>
      <c r="AZ340" s="49" t="s">
        <v>9</v>
      </c>
      <c r="BA340" s="49"/>
      <c r="BB340" s="49"/>
      <c r="BC340" s="49"/>
      <c r="BD340" s="49"/>
      <c r="BE340" s="50" t="s">
        <v>9</v>
      </c>
      <c r="BF340" s="50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51" t="s">
        <v>9</v>
      </c>
      <c r="C341" s="52" t="s">
        <v>452</v>
      </c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3" t="s">
        <v>548</v>
      </c>
      <c r="W341" s="53"/>
      <c r="X341" s="53"/>
      <c r="Y341" s="54" t="s">
        <v>74</v>
      </c>
      <c r="Z341" s="54"/>
      <c r="AA341" s="54"/>
      <c r="AB341" s="54"/>
      <c r="AC341" s="54" t="s">
        <v>74</v>
      </c>
      <c r="AD341" s="54"/>
      <c r="AE341" s="54"/>
      <c r="AF341" s="54" t="s">
        <v>74</v>
      </c>
      <c r="AG341" s="54"/>
      <c r="AH341" s="54"/>
      <c r="AI341" s="54" t="s">
        <v>74</v>
      </c>
      <c r="AJ341" s="54"/>
      <c r="AK341" s="54" t="s">
        <v>74</v>
      </c>
      <c r="AL341" s="54"/>
      <c r="AM341" s="54"/>
      <c r="AN341" s="54"/>
      <c r="AO341" s="54" t="s">
        <v>74</v>
      </c>
      <c r="AP341" s="54"/>
      <c r="AQ341" s="54"/>
      <c r="AR341" s="54" t="s">
        <v>74</v>
      </c>
      <c r="AS341" s="54"/>
      <c r="AT341" s="54"/>
      <c r="AU341" s="54" t="s">
        <v>74</v>
      </c>
      <c r="AV341" s="54"/>
      <c r="AW341" s="54"/>
      <c r="AX341" s="54" t="s">
        <v>74</v>
      </c>
      <c r="AY341" s="54"/>
      <c r="AZ341" s="54" t="s">
        <v>74</v>
      </c>
      <c r="BA341" s="54"/>
      <c r="BB341" s="54"/>
      <c r="BC341" s="54"/>
      <c r="BD341" s="54"/>
      <c r="BE341" s="55" t="s">
        <v>74</v>
      </c>
      <c r="BF341" s="55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56" t="s">
        <v>9</v>
      </c>
      <c r="C342" s="57" t="s">
        <v>454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 t="s">
        <v>549</v>
      </c>
      <c r="W342" s="58"/>
      <c r="X342" s="58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5" t="s">
        <v>74</v>
      </c>
      <c r="AS342" s="25"/>
      <c r="AT342" s="25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46" t="s">
        <v>74</v>
      </c>
      <c r="BF342" s="46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39"/>
      <c r="B343" s="56" t="s">
        <v>9</v>
      </c>
      <c r="C343" s="57" t="s">
        <v>456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550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39"/>
      <c r="B344" s="56" t="s">
        <v>9</v>
      </c>
      <c r="C344" s="57" t="s">
        <v>216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551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4">
        <f>97882</f>
        <v>97882</v>
      </c>
      <c r="AS344" s="24"/>
      <c r="AT344" s="24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59">
        <f>97882</f>
        <v>97882</v>
      </c>
      <c r="BF344" s="5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56" t="s">
        <v>9</v>
      </c>
      <c r="C345" s="57" t="s">
        <v>459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552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5" t="s">
        <v>74</v>
      </c>
      <c r="AS345" s="25"/>
      <c r="AT345" s="25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46" t="s">
        <v>74</v>
      </c>
      <c r="BF345" s="46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24" customHeight="1">
      <c r="A346" s="39"/>
      <c r="B346" s="56" t="s">
        <v>9</v>
      </c>
      <c r="C346" s="57" t="s">
        <v>461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553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24" customHeight="1">
      <c r="A347" s="39"/>
      <c r="B347" s="56" t="s">
        <v>9</v>
      </c>
      <c r="C347" s="57" t="s">
        <v>463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 t="s">
        <v>554</v>
      </c>
      <c r="W347" s="58"/>
      <c r="X347" s="58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5" t="s">
        <v>74</v>
      </c>
      <c r="AS347" s="25"/>
      <c r="AT347" s="25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46" t="s">
        <v>74</v>
      </c>
      <c r="BF347" s="46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39"/>
      <c r="B348" s="56" t="s">
        <v>9</v>
      </c>
      <c r="C348" s="57" t="s">
        <v>465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555</v>
      </c>
      <c r="W348" s="58"/>
      <c r="X348" s="58"/>
      <c r="Y348" s="25" t="s">
        <v>74</v>
      </c>
      <c r="Z348" s="25"/>
      <c r="AA348" s="25"/>
      <c r="AB348" s="25"/>
      <c r="AC348" s="25" t="s">
        <v>74</v>
      </c>
      <c r="AD348" s="25"/>
      <c r="AE348" s="25"/>
      <c r="AF348" s="25" t="s">
        <v>74</v>
      </c>
      <c r="AG348" s="25"/>
      <c r="AH348" s="25"/>
      <c r="AI348" s="25" t="s">
        <v>74</v>
      </c>
      <c r="AJ348" s="25"/>
      <c r="AK348" s="25" t="s">
        <v>74</v>
      </c>
      <c r="AL348" s="25"/>
      <c r="AM348" s="25"/>
      <c r="AN348" s="25"/>
      <c r="AO348" s="25" t="s">
        <v>74</v>
      </c>
      <c r="AP348" s="25"/>
      <c r="AQ348" s="25"/>
      <c r="AR348" s="25" t="s">
        <v>74</v>
      </c>
      <c r="AS348" s="25"/>
      <c r="AT348" s="25"/>
      <c r="AU348" s="25" t="s">
        <v>74</v>
      </c>
      <c r="AV348" s="25"/>
      <c r="AW348" s="25"/>
      <c r="AX348" s="25" t="s">
        <v>74</v>
      </c>
      <c r="AY348" s="25"/>
      <c r="AZ348" s="25" t="s">
        <v>74</v>
      </c>
      <c r="BA348" s="25"/>
      <c r="BB348" s="25"/>
      <c r="BC348" s="25"/>
      <c r="BD348" s="25"/>
      <c r="BE348" s="46" t="s">
        <v>74</v>
      </c>
      <c r="BF348" s="46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24" customHeight="1">
      <c r="A349" s="39"/>
      <c r="B349" s="56" t="s">
        <v>9</v>
      </c>
      <c r="C349" s="57" t="s">
        <v>467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556</v>
      </c>
      <c r="W349" s="58"/>
      <c r="X349" s="58"/>
      <c r="Y349" s="25" t="s">
        <v>74</v>
      </c>
      <c r="Z349" s="25"/>
      <c r="AA349" s="25"/>
      <c r="AB349" s="25"/>
      <c r="AC349" s="25" t="s">
        <v>74</v>
      </c>
      <c r="AD349" s="25"/>
      <c r="AE349" s="25"/>
      <c r="AF349" s="25" t="s">
        <v>74</v>
      </c>
      <c r="AG349" s="25"/>
      <c r="AH349" s="25"/>
      <c r="AI349" s="25" t="s">
        <v>74</v>
      </c>
      <c r="AJ349" s="25"/>
      <c r="AK349" s="25" t="s">
        <v>74</v>
      </c>
      <c r="AL349" s="25"/>
      <c r="AM349" s="25"/>
      <c r="AN349" s="25"/>
      <c r="AO349" s="25" t="s">
        <v>74</v>
      </c>
      <c r="AP349" s="25"/>
      <c r="AQ349" s="25"/>
      <c r="AR349" s="25" t="s">
        <v>74</v>
      </c>
      <c r="AS349" s="25"/>
      <c r="AT349" s="25"/>
      <c r="AU349" s="25" t="s">
        <v>74</v>
      </c>
      <c r="AV349" s="25"/>
      <c r="AW349" s="25"/>
      <c r="AX349" s="25" t="s">
        <v>74</v>
      </c>
      <c r="AY349" s="25"/>
      <c r="AZ349" s="25" t="s">
        <v>74</v>
      </c>
      <c r="BA349" s="25"/>
      <c r="BB349" s="25"/>
      <c r="BC349" s="25"/>
      <c r="BD349" s="25"/>
      <c r="BE349" s="46" t="s">
        <v>74</v>
      </c>
      <c r="BF349" s="46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39"/>
      <c r="B350" s="44" t="s">
        <v>557</v>
      </c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5" t="s">
        <v>558</v>
      </c>
      <c r="W350" s="45"/>
      <c r="X350" s="45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47" t="s">
        <v>451</v>
      </c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8" t="s">
        <v>9</v>
      </c>
      <c r="W351" s="48"/>
      <c r="X351" s="48"/>
      <c r="Y351" s="49" t="s">
        <v>9</v>
      </c>
      <c r="Z351" s="49"/>
      <c r="AA351" s="49"/>
      <c r="AB351" s="49"/>
      <c r="AC351" s="49" t="s">
        <v>9</v>
      </c>
      <c r="AD351" s="49"/>
      <c r="AE351" s="49"/>
      <c r="AF351" s="49" t="s">
        <v>9</v>
      </c>
      <c r="AG351" s="49"/>
      <c r="AH351" s="49"/>
      <c r="AI351" s="49" t="s">
        <v>9</v>
      </c>
      <c r="AJ351" s="49"/>
      <c r="AK351" s="49" t="s">
        <v>9</v>
      </c>
      <c r="AL351" s="49"/>
      <c r="AM351" s="49"/>
      <c r="AN351" s="49"/>
      <c r="AO351" s="49" t="s">
        <v>9</v>
      </c>
      <c r="AP351" s="49"/>
      <c r="AQ351" s="49"/>
      <c r="AR351" s="49" t="s">
        <v>9</v>
      </c>
      <c r="AS351" s="49"/>
      <c r="AT351" s="49"/>
      <c r="AU351" s="49" t="s">
        <v>9</v>
      </c>
      <c r="AV351" s="49"/>
      <c r="AW351" s="49"/>
      <c r="AX351" s="49" t="s">
        <v>9</v>
      </c>
      <c r="AY351" s="49"/>
      <c r="AZ351" s="49" t="s">
        <v>9</v>
      </c>
      <c r="BA351" s="49"/>
      <c r="BB351" s="49"/>
      <c r="BC351" s="49"/>
      <c r="BD351" s="49"/>
      <c r="BE351" s="50" t="s">
        <v>9</v>
      </c>
      <c r="BF351" s="50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39"/>
      <c r="B352" s="51" t="s">
        <v>9</v>
      </c>
      <c r="C352" s="52" t="s">
        <v>452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3" t="s">
        <v>559</v>
      </c>
      <c r="W352" s="53"/>
      <c r="X352" s="53"/>
      <c r="Y352" s="54" t="s">
        <v>74</v>
      </c>
      <c r="Z352" s="54"/>
      <c r="AA352" s="54"/>
      <c r="AB352" s="54"/>
      <c r="AC352" s="54" t="s">
        <v>74</v>
      </c>
      <c r="AD352" s="54"/>
      <c r="AE352" s="54"/>
      <c r="AF352" s="54" t="s">
        <v>74</v>
      </c>
      <c r="AG352" s="54"/>
      <c r="AH352" s="54"/>
      <c r="AI352" s="54" t="s">
        <v>74</v>
      </c>
      <c r="AJ352" s="54"/>
      <c r="AK352" s="54" t="s">
        <v>74</v>
      </c>
      <c r="AL352" s="54"/>
      <c r="AM352" s="54"/>
      <c r="AN352" s="54"/>
      <c r="AO352" s="54" t="s">
        <v>74</v>
      </c>
      <c r="AP352" s="54"/>
      <c r="AQ352" s="54"/>
      <c r="AR352" s="54" t="s">
        <v>74</v>
      </c>
      <c r="AS352" s="54"/>
      <c r="AT352" s="54"/>
      <c r="AU352" s="54" t="s">
        <v>74</v>
      </c>
      <c r="AV352" s="54"/>
      <c r="AW352" s="54"/>
      <c r="AX352" s="54" t="s">
        <v>74</v>
      </c>
      <c r="AY352" s="54"/>
      <c r="AZ352" s="54" t="s">
        <v>74</v>
      </c>
      <c r="BA352" s="54"/>
      <c r="BB352" s="54"/>
      <c r="BC352" s="54"/>
      <c r="BD352" s="54"/>
      <c r="BE352" s="55" t="s">
        <v>74</v>
      </c>
      <c r="BF352" s="55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56" t="s">
        <v>9</v>
      </c>
      <c r="C353" s="57" t="s">
        <v>454</v>
      </c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8" t="s">
        <v>560</v>
      </c>
      <c r="W353" s="58"/>
      <c r="X353" s="58"/>
      <c r="Y353" s="25" t="s">
        <v>74</v>
      </c>
      <c r="Z353" s="25"/>
      <c r="AA353" s="25"/>
      <c r="AB353" s="25"/>
      <c r="AC353" s="25" t="s">
        <v>74</v>
      </c>
      <c r="AD353" s="25"/>
      <c r="AE353" s="25"/>
      <c r="AF353" s="25" t="s">
        <v>74</v>
      </c>
      <c r="AG353" s="25"/>
      <c r="AH353" s="25"/>
      <c r="AI353" s="25" t="s">
        <v>74</v>
      </c>
      <c r="AJ353" s="25"/>
      <c r="AK353" s="25" t="s">
        <v>74</v>
      </c>
      <c r="AL353" s="25"/>
      <c r="AM353" s="25"/>
      <c r="AN353" s="25"/>
      <c r="AO353" s="25" t="s">
        <v>74</v>
      </c>
      <c r="AP353" s="25"/>
      <c r="AQ353" s="25"/>
      <c r="AR353" s="25" t="s">
        <v>74</v>
      </c>
      <c r="AS353" s="25"/>
      <c r="AT353" s="25"/>
      <c r="AU353" s="25" t="s">
        <v>74</v>
      </c>
      <c r="AV353" s="25"/>
      <c r="AW353" s="25"/>
      <c r="AX353" s="25" t="s">
        <v>74</v>
      </c>
      <c r="AY353" s="25"/>
      <c r="AZ353" s="25" t="s">
        <v>74</v>
      </c>
      <c r="BA353" s="25"/>
      <c r="BB353" s="25"/>
      <c r="BC353" s="25"/>
      <c r="BD353" s="25"/>
      <c r="BE353" s="46" t="s">
        <v>74</v>
      </c>
      <c r="BF353" s="46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3.5" customHeight="1">
      <c r="A354" s="39"/>
      <c r="B354" s="56" t="s">
        <v>9</v>
      </c>
      <c r="C354" s="57" t="s">
        <v>456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 t="s">
        <v>561</v>
      </c>
      <c r="W354" s="58"/>
      <c r="X354" s="58"/>
      <c r="Y354" s="25" t="s">
        <v>74</v>
      </c>
      <c r="Z354" s="25"/>
      <c r="AA354" s="25"/>
      <c r="AB354" s="25"/>
      <c r="AC354" s="25" t="s">
        <v>74</v>
      </c>
      <c r="AD354" s="25"/>
      <c r="AE354" s="25"/>
      <c r="AF354" s="25" t="s">
        <v>74</v>
      </c>
      <c r="AG354" s="25"/>
      <c r="AH354" s="25"/>
      <c r="AI354" s="25" t="s">
        <v>74</v>
      </c>
      <c r="AJ354" s="25"/>
      <c r="AK354" s="25" t="s">
        <v>74</v>
      </c>
      <c r="AL354" s="25"/>
      <c r="AM354" s="25"/>
      <c r="AN354" s="25"/>
      <c r="AO354" s="25" t="s">
        <v>74</v>
      </c>
      <c r="AP354" s="25"/>
      <c r="AQ354" s="25"/>
      <c r="AR354" s="25" t="s">
        <v>74</v>
      </c>
      <c r="AS354" s="25"/>
      <c r="AT354" s="25"/>
      <c r="AU354" s="25" t="s">
        <v>74</v>
      </c>
      <c r="AV354" s="25"/>
      <c r="AW354" s="25"/>
      <c r="AX354" s="25" t="s">
        <v>74</v>
      </c>
      <c r="AY354" s="25"/>
      <c r="AZ354" s="25" t="s">
        <v>74</v>
      </c>
      <c r="BA354" s="25"/>
      <c r="BB354" s="25"/>
      <c r="BC354" s="25"/>
      <c r="BD354" s="25"/>
      <c r="BE354" s="46" t="s">
        <v>74</v>
      </c>
      <c r="BF354" s="46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39"/>
      <c r="B355" s="56" t="s">
        <v>9</v>
      </c>
      <c r="C355" s="57" t="s">
        <v>216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562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56" t="s">
        <v>9</v>
      </c>
      <c r="C356" s="57" t="s">
        <v>459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 t="s">
        <v>563</v>
      </c>
      <c r="W356" s="58"/>
      <c r="X356" s="58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24" customHeight="1">
      <c r="A357" s="39"/>
      <c r="B357" s="56" t="s">
        <v>9</v>
      </c>
      <c r="C357" s="57" t="s">
        <v>461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8" t="s">
        <v>564</v>
      </c>
      <c r="W357" s="58"/>
      <c r="X357" s="58"/>
      <c r="Y357" s="25" t="s">
        <v>74</v>
      </c>
      <c r="Z357" s="25"/>
      <c r="AA357" s="25"/>
      <c r="AB357" s="25"/>
      <c r="AC357" s="25" t="s">
        <v>74</v>
      </c>
      <c r="AD357" s="25"/>
      <c r="AE357" s="25"/>
      <c r="AF357" s="25" t="s">
        <v>74</v>
      </c>
      <c r="AG357" s="25"/>
      <c r="AH357" s="25"/>
      <c r="AI357" s="25" t="s">
        <v>74</v>
      </c>
      <c r="AJ357" s="25"/>
      <c r="AK357" s="25" t="s">
        <v>74</v>
      </c>
      <c r="AL357" s="25"/>
      <c r="AM357" s="25"/>
      <c r="AN357" s="25"/>
      <c r="AO357" s="25" t="s">
        <v>74</v>
      </c>
      <c r="AP357" s="25"/>
      <c r="AQ357" s="25"/>
      <c r="AR357" s="25" t="s">
        <v>74</v>
      </c>
      <c r="AS357" s="25"/>
      <c r="AT357" s="25"/>
      <c r="AU357" s="25" t="s">
        <v>74</v>
      </c>
      <c r="AV357" s="25"/>
      <c r="AW357" s="25"/>
      <c r="AX357" s="25" t="s">
        <v>74</v>
      </c>
      <c r="AY357" s="25"/>
      <c r="AZ357" s="25" t="s">
        <v>74</v>
      </c>
      <c r="BA357" s="25"/>
      <c r="BB357" s="25"/>
      <c r="BC357" s="25"/>
      <c r="BD357" s="25"/>
      <c r="BE357" s="46" t="s">
        <v>74</v>
      </c>
      <c r="BF357" s="46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24" customHeight="1">
      <c r="A358" s="39"/>
      <c r="B358" s="56" t="s">
        <v>9</v>
      </c>
      <c r="C358" s="57" t="s">
        <v>463</v>
      </c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8" t="s">
        <v>565</v>
      </c>
      <c r="W358" s="58"/>
      <c r="X358" s="58"/>
      <c r="Y358" s="25" t="s">
        <v>74</v>
      </c>
      <c r="Z358" s="25"/>
      <c r="AA358" s="25"/>
      <c r="AB358" s="25"/>
      <c r="AC358" s="25" t="s">
        <v>74</v>
      </c>
      <c r="AD358" s="25"/>
      <c r="AE358" s="25"/>
      <c r="AF358" s="25" t="s">
        <v>74</v>
      </c>
      <c r="AG358" s="25"/>
      <c r="AH358" s="25"/>
      <c r="AI358" s="25" t="s">
        <v>74</v>
      </c>
      <c r="AJ358" s="25"/>
      <c r="AK358" s="25" t="s">
        <v>74</v>
      </c>
      <c r="AL358" s="25"/>
      <c r="AM358" s="25"/>
      <c r="AN358" s="25"/>
      <c r="AO358" s="25" t="s">
        <v>74</v>
      </c>
      <c r="AP358" s="25"/>
      <c r="AQ358" s="25"/>
      <c r="AR358" s="25" t="s">
        <v>74</v>
      </c>
      <c r="AS358" s="25"/>
      <c r="AT358" s="25"/>
      <c r="AU358" s="25" t="s">
        <v>74</v>
      </c>
      <c r="AV358" s="25"/>
      <c r="AW358" s="25"/>
      <c r="AX358" s="25" t="s">
        <v>74</v>
      </c>
      <c r="AY358" s="25"/>
      <c r="AZ358" s="25" t="s">
        <v>74</v>
      </c>
      <c r="BA358" s="25"/>
      <c r="BB358" s="25"/>
      <c r="BC358" s="25"/>
      <c r="BD358" s="25"/>
      <c r="BE358" s="46" t="s">
        <v>74</v>
      </c>
      <c r="BF358" s="46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13.5" customHeight="1">
      <c r="A359" s="39"/>
      <c r="B359" s="56" t="s">
        <v>9</v>
      </c>
      <c r="C359" s="57" t="s">
        <v>465</v>
      </c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8" t="s">
        <v>566</v>
      </c>
      <c r="W359" s="58"/>
      <c r="X359" s="58"/>
      <c r="Y359" s="25" t="s">
        <v>74</v>
      </c>
      <c r="Z359" s="25"/>
      <c r="AA359" s="25"/>
      <c r="AB359" s="25"/>
      <c r="AC359" s="25" t="s">
        <v>74</v>
      </c>
      <c r="AD359" s="25"/>
      <c r="AE359" s="25"/>
      <c r="AF359" s="25" t="s">
        <v>74</v>
      </c>
      <c r="AG359" s="25"/>
      <c r="AH359" s="25"/>
      <c r="AI359" s="25" t="s">
        <v>74</v>
      </c>
      <c r="AJ359" s="25"/>
      <c r="AK359" s="25" t="s">
        <v>74</v>
      </c>
      <c r="AL359" s="25"/>
      <c r="AM359" s="25"/>
      <c r="AN359" s="25"/>
      <c r="AO359" s="25" t="s">
        <v>74</v>
      </c>
      <c r="AP359" s="25"/>
      <c r="AQ359" s="25"/>
      <c r="AR359" s="25" t="s">
        <v>74</v>
      </c>
      <c r="AS359" s="25"/>
      <c r="AT359" s="25"/>
      <c r="AU359" s="25" t="s">
        <v>74</v>
      </c>
      <c r="AV359" s="25"/>
      <c r="AW359" s="25"/>
      <c r="AX359" s="25" t="s">
        <v>74</v>
      </c>
      <c r="AY359" s="25"/>
      <c r="AZ359" s="25" t="s">
        <v>74</v>
      </c>
      <c r="BA359" s="25"/>
      <c r="BB359" s="25"/>
      <c r="BC359" s="25"/>
      <c r="BD359" s="25"/>
      <c r="BE359" s="46" t="s">
        <v>74</v>
      </c>
      <c r="BF359" s="46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24" customHeight="1">
      <c r="A360" s="39"/>
      <c r="B360" s="56" t="s">
        <v>9</v>
      </c>
      <c r="C360" s="57" t="s">
        <v>467</v>
      </c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60" t="s">
        <v>567</v>
      </c>
      <c r="W360" s="60"/>
      <c r="X360" s="60"/>
      <c r="Y360" s="61" t="s">
        <v>74</v>
      </c>
      <c r="Z360" s="61"/>
      <c r="AA360" s="61"/>
      <c r="AB360" s="61"/>
      <c r="AC360" s="61" t="s">
        <v>74</v>
      </c>
      <c r="AD360" s="61"/>
      <c r="AE360" s="61"/>
      <c r="AF360" s="61" t="s">
        <v>74</v>
      </c>
      <c r="AG360" s="61"/>
      <c r="AH360" s="61"/>
      <c r="AI360" s="61" t="s">
        <v>74</v>
      </c>
      <c r="AJ360" s="61"/>
      <c r="AK360" s="61" t="s">
        <v>74</v>
      </c>
      <c r="AL360" s="61"/>
      <c r="AM360" s="61"/>
      <c r="AN360" s="61"/>
      <c r="AO360" s="61" t="s">
        <v>74</v>
      </c>
      <c r="AP360" s="61"/>
      <c r="AQ360" s="61"/>
      <c r="AR360" s="61" t="s">
        <v>74</v>
      </c>
      <c r="AS360" s="61"/>
      <c r="AT360" s="61"/>
      <c r="AU360" s="61" t="s">
        <v>74</v>
      </c>
      <c r="AV360" s="61"/>
      <c r="AW360" s="61"/>
      <c r="AX360" s="61" t="s">
        <v>74</v>
      </c>
      <c r="AY360" s="61"/>
      <c r="AZ360" s="61" t="s">
        <v>74</v>
      </c>
      <c r="BA360" s="61"/>
      <c r="BB360" s="61"/>
      <c r="BC360" s="61"/>
      <c r="BD360" s="61"/>
      <c r="BE360" s="62" t="s">
        <v>74</v>
      </c>
      <c r="BF360" s="62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13.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13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8" t="s">
        <v>568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63" t="s">
        <v>9</v>
      </c>
      <c r="O363" s="63"/>
      <c r="P363" s="63"/>
      <c r="Q363" s="63"/>
      <c r="R363" s="63"/>
      <c r="S363" s="63" t="s">
        <v>569</v>
      </c>
      <c r="T363" s="63"/>
      <c r="U363" s="63"/>
      <c r="V363" s="63"/>
      <c r="W363" s="63"/>
      <c r="X363" s="63"/>
      <c r="Y363" s="63"/>
      <c r="Z363" s="63"/>
      <c r="AA363" s="29" t="s">
        <v>9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29" t="s">
        <v>9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64" t="s">
        <v>9</v>
      </c>
      <c r="O364" s="65" t="s">
        <v>570</v>
      </c>
      <c r="P364" s="65"/>
      <c r="Q364" s="65"/>
      <c r="R364" s="64" t="s">
        <v>9</v>
      </c>
      <c r="S364" s="64" t="s">
        <v>9</v>
      </c>
      <c r="T364" s="65" t="s">
        <v>571</v>
      </c>
      <c r="U364" s="65"/>
      <c r="V364" s="65"/>
      <c r="W364" s="65"/>
      <c r="X364" s="65"/>
      <c r="Y364" s="65"/>
      <c r="Z364" s="29" t="s">
        <v>9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7.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13.5" customHeight="1">
      <c r="A366" s="8" t="s">
        <v>572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63" t="s">
        <v>9</v>
      </c>
      <c r="O366" s="63"/>
      <c r="P366" s="63"/>
      <c r="Q366" s="63"/>
      <c r="R366" s="63"/>
      <c r="S366" s="63" t="s">
        <v>573</v>
      </c>
      <c r="T366" s="63"/>
      <c r="U366" s="63"/>
      <c r="V366" s="63"/>
      <c r="W366" s="63"/>
      <c r="X366" s="63"/>
      <c r="Y366" s="63"/>
      <c r="Z366" s="63"/>
      <c r="AA366" s="29" t="s">
        <v>9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29" t="s">
        <v>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64" t="s">
        <v>9</v>
      </c>
      <c r="O367" s="65" t="s">
        <v>570</v>
      </c>
      <c r="P367" s="65"/>
      <c r="Q367" s="65"/>
      <c r="R367" s="64" t="s">
        <v>9</v>
      </c>
      <c r="S367" s="64" t="s">
        <v>9</v>
      </c>
      <c r="T367" s="65" t="s">
        <v>571</v>
      </c>
      <c r="U367" s="65"/>
      <c r="V367" s="65"/>
      <c r="W367" s="65"/>
      <c r="X367" s="65"/>
      <c r="Y367" s="65"/>
      <c r="Z367" s="29" t="s">
        <v>9</v>
      </c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7.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8" t="s">
        <v>574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63" t="s">
        <v>9</v>
      </c>
      <c r="O369" s="63"/>
      <c r="P369" s="63"/>
      <c r="Q369" s="63"/>
      <c r="R369" s="63"/>
      <c r="S369" s="63" t="s">
        <v>575</v>
      </c>
      <c r="T369" s="63"/>
      <c r="U369" s="63"/>
      <c r="V369" s="63"/>
      <c r="W369" s="63"/>
      <c r="X369" s="63"/>
      <c r="Y369" s="63"/>
      <c r="Z369" s="63"/>
      <c r="AA369" s="29" t="s">
        <v>9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29" t="s">
        <v>9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64" t="s">
        <v>9</v>
      </c>
      <c r="O370" s="65" t="s">
        <v>570</v>
      </c>
      <c r="P370" s="65"/>
      <c r="Q370" s="65"/>
      <c r="R370" s="64" t="s">
        <v>9</v>
      </c>
      <c r="S370" s="64" t="s">
        <v>9</v>
      </c>
      <c r="T370" s="65" t="s">
        <v>571</v>
      </c>
      <c r="U370" s="65"/>
      <c r="V370" s="65"/>
      <c r="W370" s="65"/>
      <c r="X370" s="65"/>
      <c r="Y370" s="65"/>
      <c r="Z370" s="29" t="s">
        <v>9</v>
      </c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7.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13.5" customHeight="1">
      <c r="A372" s="8" t="s">
        <v>576</v>
      </c>
      <c r="B372" s="8"/>
      <c r="C372" s="8"/>
      <c r="D372" s="8"/>
      <c r="E372" s="63" t="s">
        <v>572</v>
      </c>
      <c r="F372" s="63"/>
      <c r="G372" s="63"/>
      <c r="H372" s="63"/>
      <c r="I372" s="63"/>
      <c r="J372" s="63"/>
      <c r="K372" s="63"/>
      <c r="L372" s="63"/>
      <c r="M372" s="63"/>
      <c r="N372" s="63" t="s">
        <v>9</v>
      </c>
      <c r="O372" s="63"/>
      <c r="P372" s="63"/>
      <c r="Q372" s="63"/>
      <c r="R372" s="63"/>
      <c r="S372" s="63" t="s">
        <v>573</v>
      </c>
      <c r="T372" s="63"/>
      <c r="U372" s="63"/>
      <c r="V372" s="63"/>
      <c r="W372" s="63"/>
      <c r="X372" s="63"/>
      <c r="Y372" s="63"/>
      <c r="Z372" s="63"/>
      <c r="AA372" s="29" t="s">
        <v>9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29" t="s">
        <v>9</v>
      </c>
      <c r="B373" s="29"/>
      <c r="C373" s="29"/>
      <c r="D373" s="29"/>
      <c r="E373" s="64" t="s">
        <v>9</v>
      </c>
      <c r="F373" s="65" t="s">
        <v>577</v>
      </c>
      <c r="G373" s="65"/>
      <c r="H373" s="65"/>
      <c r="I373" s="65"/>
      <c r="J373" s="65"/>
      <c r="K373" s="65"/>
      <c r="L373" s="29" t="s">
        <v>9</v>
      </c>
      <c r="M373" s="29"/>
      <c r="N373" s="64" t="s">
        <v>9</v>
      </c>
      <c r="O373" s="65" t="s">
        <v>570</v>
      </c>
      <c r="P373" s="65"/>
      <c r="Q373" s="65"/>
      <c r="R373" s="64" t="s">
        <v>9</v>
      </c>
      <c r="S373" s="64" t="s">
        <v>9</v>
      </c>
      <c r="T373" s="65" t="s">
        <v>571</v>
      </c>
      <c r="U373" s="65"/>
      <c r="V373" s="65"/>
      <c r="W373" s="65"/>
      <c r="X373" s="65"/>
      <c r="Y373" s="65"/>
      <c r="Z373" s="29" t="s">
        <v>9</v>
      </c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15.75" customHeight="1">
      <c r="A374" s="29" t="s">
        <v>9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</row>
    <row r="375" spans="1:72" s="1" customFormat="1" ht="13.5" customHeight="1">
      <c r="A375" s="29" t="s">
        <v>9</v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</row>
    <row r="376" spans="1:72" s="1" customFormat="1" ht="13.5" customHeight="1">
      <c r="A376" s="66" t="s">
        <v>578</v>
      </c>
      <c r="B376" s="66"/>
      <c r="C376" s="66"/>
      <c r="D376" s="66"/>
      <c r="E376" s="66"/>
      <c r="F376" s="66"/>
      <c r="G376" s="66"/>
      <c r="H376" s="66"/>
      <c r="I376" s="66"/>
      <c r="J376" s="66"/>
      <c r="K376" s="29" t="s">
        <v>9</v>
      </c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</row>
    <row r="377" spans="1:72" s="1" customFormat="1" ht="13.5" customHeight="1">
      <c r="A377" s="67" t="s">
        <v>579</v>
      </c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</row>
  </sheetData>
  <sheetProtection/>
  <mergeCells count="5665">
    <mergeCell ref="A374:BT374"/>
    <mergeCell ref="A375:BT375"/>
    <mergeCell ref="A376:J376"/>
    <mergeCell ref="K376:BT376"/>
    <mergeCell ref="A377:BT377"/>
    <mergeCell ref="A373:D373"/>
    <mergeCell ref="F373:K373"/>
    <mergeCell ref="L373:M373"/>
    <mergeCell ref="O373:Q373"/>
    <mergeCell ref="T373:Y373"/>
    <mergeCell ref="Z373:BT373"/>
    <mergeCell ref="A370:M370"/>
    <mergeCell ref="O370:Q370"/>
    <mergeCell ref="T370:Y370"/>
    <mergeCell ref="Z370:BT370"/>
    <mergeCell ref="A371:BT371"/>
    <mergeCell ref="A372:D372"/>
    <mergeCell ref="E372:M372"/>
    <mergeCell ref="N372:R372"/>
    <mergeCell ref="S372:Z372"/>
    <mergeCell ref="AA372:BT372"/>
    <mergeCell ref="A367:M367"/>
    <mergeCell ref="O367:Q367"/>
    <mergeCell ref="T367:Y367"/>
    <mergeCell ref="Z367:BT367"/>
    <mergeCell ref="A368:BT368"/>
    <mergeCell ref="A369:M369"/>
    <mergeCell ref="N369:R369"/>
    <mergeCell ref="S369:Z369"/>
    <mergeCell ref="AA369:BT369"/>
    <mergeCell ref="A364:M364"/>
    <mergeCell ref="O364:Q364"/>
    <mergeCell ref="T364:Y364"/>
    <mergeCell ref="Z364:BT364"/>
    <mergeCell ref="A365:BT365"/>
    <mergeCell ref="A366:M366"/>
    <mergeCell ref="N366:R366"/>
    <mergeCell ref="S366:Z366"/>
    <mergeCell ref="AA366:BT366"/>
    <mergeCell ref="AZ360:BD360"/>
    <mergeCell ref="BE360:BF360"/>
    <mergeCell ref="BG247:BT360"/>
    <mergeCell ref="A361:BT361"/>
    <mergeCell ref="A362:BT362"/>
    <mergeCell ref="A363:M363"/>
    <mergeCell ref="N363:R363"/>
    <mergeCell ref="S363:Z363"/>
    <mergeCell ref="AA363:BT363"/>
    <mergeCell ref="AI360:AJ360"/>
    <mergeCell ref="AK360:AN360"/>
    <mergeCell ref="AO360:AQ360"/>
    <mergeCell ref="AR360:AT360"/>
    <mergeCell ref="AU360:AW360"/>
    <mergeCell ref="AX360:AY360"/>
    <mergeCell ref="AR359:AT359"/>
    <mergeCell ref="AU359:AW359"/>
    <mergeCell ref="AX359:AY359"/>
    <mergeCell ref="AZ359:BD359"/>
    <mergeCell ref="BE359:BF359"/>
    <mergeCell ref="C360:U360"/>
    <mergeCell ref="V360:X360"/>
    <mergeCell ref="Y360:AB360"/>
    <mergeCell ref="AC360:AE360"/>
    <mergeCell ref="AF360:AH360"/>
    <mergeCell ref="AZ358:BD358"/>
    <mergeCell ref="BE358:BF358"/>
    <mergeCell ref="C359:U359"/>
    <mergeCell ref="V359:X359"/>
    <mergeCell ref="Y359:AB359"/>
    <mergeCell ref="AC359:AE359"/>
    <mergeCell ref="AF359:AH359"/>
    <mergeCell ref="AI359:AJ359"/>
    <mergeCell ref="AK359:AN359"/>
    <mergeCell ref="AO359:AQ359"/>
    <mergeCell ref="AI358:AJ358"/>
    <mergeCell ref="AK358:AN358"/>
    <mergeCell ref="AO358:AQ358"/>
    <mergeCell ref="AR358:AT358"/>
    <mergeCell ref="AU358:AW358"/>
    <mergeCell ref="AX358:AY358"/>
    <mergeCell ref="AR357:AT357"/>
    <mergeCell ref="AU357:AW357"/>
    <mergeCell ref="AX357:AY357"/>
    <mergeCell ref="AZ357:BD357"/>
    <mergeCell ref="BE357:BF357"/>
    <mergeCell ref="C358:U358"/>
    <mergeCell ref="V358:X358"/>
    <mergeCell ref="Y358:AB358"/>
    <mergeCell ref="AC358:AE358"/>
    <mergeCell ref="AF358:AH358"/>
    <mergeCell ref="AZ356:BD356"/>
    <mergeCell ref="BE356:BF356"/>
    <mergeCell ref="C357:U357"/>
    <mergeCell ref="V357:X357"/>
    <mergeCell ref="Y357:AB357"/>
    <mergeCell ref="AC357:AE357"/>
    <mergeCell ref="AF357:AH357"/>
    <mergeCell ref="AI357:AJ357"/>
    <mergeCell ref="AK357:AN357"/>
    <mergeCell ref="AO357:AQ357"/>
    <mergeCell ref="AI356:AJ356"/>
    <mergeCell ref="AK356:AN356"/>
    <mergeCell ref="AO356:AQ356"/>
    <mergeCell ref="AR356:AT356"/>
    <mergeCell ref="AU356:AW356"/>
    <mergeCell ref="AX356:AY356"/>
    <mergeCell ref="AR355:AT355"/>
    <mergeCell ref="AU355:AW355"/>
    <mergeCell ref="AX355:AY355"/>
    <mergeCell ref="AZ355:BD355"/>
    <mergeCell ref="BE355:BF355"/>
    <mergeCell ref="C356:U356"/>
    <mergeCell ref="V356:X356"/>
    <mergeCell ref="Y356:AB356"/>
    <mergeCell ref="AC356:AE356"/>
    <mergeCell ref="AF356:AH356"/>
    <mergeCell ref="AZ354:BD354"/>
    <mergeCell ref="BE354:BF354"/>
    <mergeCell ref="C355:U355"/>
    <mergeCell ref="V355:X355"/>
    <mergeCell ref="Y355:AB355"/>
    <mergeCell ref="AC355:AE355"/>
    <mergeCell ref="AF355:AH355"/>
    <mergeCell ref="AI355:AJ355"/>
    <mergeCell ref="AK355:AN355"/>
    <mergeCell ref="AO355:AQ355"/>
    <mergeCell ref="AI354:AJ354"/>
    <mergeCell ref="AK354:AN354"/>
    <mergeCell ref="AO354:AQ354"/>
    <mergeCell ref="AR354:AT354"/>
    <mergeCell ref="AU354:AW354"/>
    <mergeCell ref="AX354:AY354"/>
    <mergeCell ref="AR353:AT353"/>
    <mergeCell ref="AU353:AW353"/>
    <mergeCell ref="AX353:AY353"/>
    <mergeCell ref="AZ353:BD353"/>
    <mergeCell ref="BE353:BF353"/>
    <mergeCell ref="C354:U354"/>
    <mergeCell ref="V354:X354"/>
    <mergeCell ref="Y354:AB354"/>
    <mergeCell ref="AC354:AE354"/>
    <mergeCell ref="AF354:AH354"/>
    <mergeCell ref="AZ352:BD352"/>
    <mergeCell ref="BE352:BF352"/>
    <mergeCell ref="C353:U353"/>
    <mergeCell ref="V353:X353"/>
    <mergeCell ref="Y353:AB353"/>
    <mergeCell ref="AC353:AE353"/>
    <mergeCell ref="AF353:AH353"/>
    <mergeCell ref="AI353:AJ353"/>
    <mergeCell ref="AK353:AN353"/>
    <mergeCell ref="AO353:AQ353"/>
    <mergeCell ref="AI352:AJ352"/>
    <mergeCell ref="AK352:AN352"/>
    <mergeCell ref="AO352:AQ352"/>
    <mergeCell ref="AR352:AT352"/>
    <mergeCell ref="AU352:AW352"/>
    <mergeCell ref="AX352:AY352"/>
    <mergeCell ref="AR351:AT351"/>
    <mergeCell ref="AU351:AW351"/>
    <mergeCell ref="AX351:AY351"/>
    <mergeCell ref="AZ351:BD351"/>
    <mergeCell ref="BE351:BF351"/>
    <mergeCell ref="C352:U352"/>
    <mergeCell ref="V352:X352"/>
    <mergeCell ref="Y352:AB352"/>
    <mergeCell ref="AC352:AE352"/>
    <mergeCell ref="AF352:AH352"/>
    <mergeCell ref="AZ350:BD350"/>
    <mergeCell ref="BE350:BF350"/>
    <mergeCell ref="B351:U351"/>
    <mergeCell ref="V351:X351"/>
    <mergeCell ref="Y351:AB351"/>
    <mergeCell ref="AC351:AE351"/>
    <mergeCell ref="AF351:AH351"/>
    <mergeCell ref="AI351:AJ351"/>
    <mergeCell ref="AK351:AN351"/>
    <mergeCell ref="AO351:AQ351"/>
    <mergeCell ref="AI350:AJ350"/>
    <mergeCell ref="AK350:AN350"/>
    <mergeCell ref="AO350:AQ350"/>
    <mergeCell ref="AR350:AT350"/>
    <mergeCell ref="AU350:AW350"/>
    <mergeCell ref="AX350:AY350"/>
    <mergeCell ref="AR349:AT349"/>
    <mergeCell ref="AU349:AW349"/>
    <mergeCell ref="AX349:AY349"/>
    <mergeCell ref="AZ349:BD349"/>
    <mergeCell ref="BE349:BF349"/>
    <mergeCell ref="B350:U350"/>
    <mergeCell ref="V350:X350"/>
    <mergeCell ref="Y350:AB350"/>
    <mergeCell ref="AC350:AE350"/>
    <mergeCell ref="AF350:AH350"/>
    <mergeCell ref="AZ348:BD348"/>
    <mergeCell ref="BE348:BF348"/>
    <mergeCell ref="C349:U349"/>
    <mergeCell ref="V349:X349"/>
    <mergeCell ref="Y349:AB349"/>
    <mergeCell ref="AC349:AE349"/>
    <mergeCell ref="AF349:AH349"/>
    <mergeCell ref="AI349:AJ349"/>
    <mergeCell ref="AK349:AN349"/>
    <mergeCell ref="AO349:AQ349"/>
    <mergeCell ref="AI348:AJ348"/>
    <mergeCell ref="AK348:AN348"/>
    <mergeCell ref="AO348:AQ348"/>
    <mergeCell ref="AR348:AT348"/>
    <mergeCell ref="AU348:AW348"/>
    <mergeCell ref="AX348:AY348"/>
    <mergeCell ref="AR347:AT347"/>
    <mergeCell ref="AU347:AW347"/>
    <mergeCell ref="AX347:AY347"/>
    <mergeCell ref="AZ347:BD347"/>
    <mergeCell ref="BE347:BF347"/>
    <mergeCell ref="C348:U348"/>
    <mergeCell ref="V348:X348"/>
    <mergeCell ref="Y348:AB348"/>
    <mergeCell ref="AC348:AE348"/>
    <mergeCell ref="AF348:AH348"/>
    <mergeCell ref="AZ346:BD346"/>
    <mergeCell ref="BE346:BF346"/>
    <mergeCell ref="C347:U347"/>
    <mergeCell ref="V347:X347"/>
    <mergeCell ref="Y347:AB347"/>
    <mergeCell ref="AC347:AE347"/>
    <mergeCell ref="AF347:AH347"/>
    <mergeCell ref="AI347:AJ347"/>
    <mergeCell ref="AK347:AN347"/>
    <mergeCell ref="AO347:AQ347"/>
    <mergeCell ref="AI346:AJ346"/>
    <mergeCell ref="AK346:AN346"/>
    <mergeCell ref="AO346:AQ346"/>
    <mergeCell ref="AR346:AT346"/>
    <mergeCell ref="AU346:AW346"/>
    <mergeCell ref="AX346:AY346"/>
    <mergeCell ref="AR345:AT345"/>
    <mergeCell ref="AU345:AW345"/>
    <mergeCell ref="AX345:AY345"/>
    <mergeCell ref="AZ345:BD345"/>
    <mergeCell ref="BE345:BF345"/>
    <mergeCell ref="C346:U346"/>
    <mergeCell ref="V346:X346"/>
    <mergeCell ref="Y346:AB346"/>
    <mergeCell ref="AC346:AE346"/>
    <mergeCell ref="AF346:AH346"/>
    <mergeCell ref="AZ344:BD344"/>
    <mergeCell ref="BE344:BF344"/>
    <mergeCell ref="C345:U345"/>
    <mergeCell ref="V345:X345"/>
    <mergeCell ref="Y345:AB345"/>
    <mergeCell ref="AC345:AE345"/>
    <mergeCell ref="AF345:AH345"/>
    <mergeCell ref="AI345:AJ345"/>
    <mergeCell ref="AK345:AN345"/>
    <mergeCell ref="AO345:AQ345"/>
    <mergeCell ref="AI344:AJ344"/>
    <mergeCell ref="AK344:AN344"/>
    <mergeCell ref="AO344:AQ344"/>
    <mergeCell ref="AR344:AT344"/>
    <mergeCell ref="AU344:AW344"/>
    <mergeCell ref="AX344:AY344"/>
    <mergeCell ref="AR343:AT343"/>
    <mergeCell ref="AU343:AW343"/>
    <mergeCell ref="AX343:AY343"/>
    <mergeCell ref="AZ343:BD343"/>
    <mergeCell ref="BE343:BF343"/>
    <mergeCell ref="C344:U344"/>
    <mergeCell ref="V344:X344"/>
    <mergeCell ref="Y344:AB344"/>
    <mergeCell ref="AC344:AE344"/>
    <mergeCell ref="AF344:AH344"/>
    <mergeCell ref="AZ342:BD342"/>
    <mergeCell ref="BE342:BF342"/>
    <mergeCell ref="C343:U343"/>
    <mergeCell ref="V343:X343"/>
    <mergeCell ref="Y343:AB343"/>
    <mergeCell ref="AC343:AE343"/>
    <mergeCell ref="AF343:AH343"/>
    <mergeCell ref="AI343:AJ343"/>
    <mergeCell ref="AK343:AN343"/>
    <mergeCell ref="AO343:AQ343"/>
    <mergeCell ref="AI342:AJ342"/>
    <mergeCell ref="AK342:AN342"/>
    <mergeCell ref="AO342:AQ342"/>
    <mergeCell ref="AR342:AT342"/>
    <mergeCell ref="AU342:AW342"/>
    <mergeCell ref="AX342:AY342"/>
    <mergeCell ref="AR341:AT341"/>
    <mergeCell ref="AU341:AW341"/>
    <mergeCell ref="AX341:AY341"/>
    <mergeCell ref="AZ341:BD341"/>
    <mergeCell ref="BE341:BF341"/>
    <mergeCell ref="C342:U342"/>
    <mergeCell ref="V342:X342"/>
    <mergeCell ref="Y342:AB342"/>
    <mergeCell ref="AC342:AE342"/>
    <mergeCell ref="AF342:AH342"/>
    <mergeCell ref="AZ340:BD340"/>
    <mergeCell ref="BE340:BF340"/>
    <mergeCell ref="C341:U341"/>
    <mergeCell ref="V341:X341"/>
    <mergeCell ref="Y341:AB341"/>
    <mergeCell ref="AC341:AE341"/>
    <mergeCell ref="AF341:AH341"/>
    <mergeCell ref="AI341:AJ341"/>
    <mergeCell ref="AK341:AN341"/>
    <mergeCell ref="AO341:AQ341"/>
    <mergeCell ref="AI340:AJ340"/>
    <mergeCell ref="AK340:AN340"/>
    <mergeCell ref="AO340:AQ340"/>
    <mergeCell ref="AR340:AT340"/>
    <mergeCell ref="AU340:AW340"/>
    <mergeCell ref="AX340:AY340"/>
    <mergeCell ref="AR339:AT339"/>
    <mergeCell ref="AU339:AW339"/>
    <mergeCell ref="AX339:AY339"/>
    <mergeCell ref="AZ339:BD339"/>
    <mergeCell ref="BE339:BF339"/>
    <mergeCell ref="B340:U340"/>
    <mergeCell ref="V340:X340"/>
    <mergeCell ref="Y340:AB340"/>
    <mergeCell ref="AC340:AE340"/>
    <mergeCell ref="AF340:AH340"/>
    <mergeCell ref="AZ338:BD338"/>
    <mergeCell ref="BE338:BF338"/>
    <mergeCell ref="B339:U339"/>
    <mergeCell ref="V339:X339"/>
    <mergeCell ref="Y339:AB339"/>
    <mergeCell ref="AC339:AE339"/>
    <mergeCell ref="AF339:AH339"/>
    <mergeCell ref="AI339:AJ339"/>
    <mergeCell ref="AK339:AN339"/>
    <mergeCell ref="AO339:AQ339"/>
    <mergeCell ref="AI338:AJ338"/>
    <mergeCell ref="AK338:AN338"/>
    <mergeCell ref="AO338:AQ338"/>
    <mergeCell ref="AR338:AT338"/>
    <mergeCell ref="AU338:AW338"/>
    <mergeCell ref="AX338:AY338"/>
    <mergeCell ref="AR337:AT337"/>
    <mergeCell ref="AU337:AW337"/>
    <mergeCell ref="AX337:AY337"/>
    <mergeCell ref="AZ337:BD337"/>
    <mergeCell ref="BE337:BF337"/>
    <mergeCell ref="C338:U338"/>
    <mergeCell ref="V338:X338"/>
    <mergeCell ref="Y338:AB338"/>
    <mergeCell ref="AC338:AE338"/>
    <mergeCell ref="AF338:AH338"/>
    <mergeCell ref="AZ336:BD336"/>
    <mergeCell ref="BE336:BF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I336:AJ336"/>
    <mergeCell ref="AK336:AN336"/>
    <mergeCell ref="AO336:AQ336"/>
    <mergeCell ref="AR336:AT336"/>
    <mergeCell ref="AU336:AW336"/>
    <mergeCell ref="AX336:AY336"/>
    <mergeCell ref="AR335:AT335"/>
    <mergeCell ref="AU335:AW335"/>
    <mergeCell ref="AX335:AY335"/>
    <mergeCell ref="AZ335:BD335"/>
    <mergeCell ref="BE335:BF335"/>
    <mergeCell ref="C336:U336"/>
    <mergeCell ref="V336:X336"/>
    <mergeCell ref="Y336:AB336"/>
    <mergeCell ref="AC336:AE336"/>
    <mergeCell ref="AF336:AH336"/>
    <mergeCell ref="AZ334:BD334"/>
    <mergeCell ref="BE334:BF334"/>
    <mergeCell ref="C335:U335"/>
    <mergeCell ref="V335:X335"/>
    <mergeCell ref="Y335:AB335"/>
    <mergeCell ref="AC335:AE335"/>
    <mergeCell ref="AF335:AH335"/>
    <mergeCell ref="AI335:AJ335"/>
    <mergeCell ref="AK335:AN335"/>
    <mergeCell ref="AO335:AQ335"/>
    <mergeCell ref="AI334:AJ334"/>
    <mergeCell ref="AK334:AN334"/>
    <mergeCell ref="AO334:AQ334"/>
    <mergeCell ref="AR334:AT334"/>
    <mergeCell ref="AU334:AW334"/>
    <mergeCell ref="AX334:AY334"/>
    <mergeCell ref="AR333:AT333"/>
    <mergeCell ref="AU333:AW333"/>
    <mergeCell ref="AX333:AY333"/>
    <mergeCell ref="AZ333:BD333"/>
    <mergeCell ref="BE333:BF333"/>
    <mergeCell ref="C334:U334"/>
    <mergeCell ref="V334:X334"/>
    <mergeCell ref="Y334:AB334"/>
    <mergeCell ref="AC334:AE334"/>
    <mergeCell ref="AF334:AH334"/>
    <mergeCell ref="AZ332:BD332"/>
    <mergeCell ref="BE332:BF332"/>
    <mergeCell ref="C333:U333"/>
    <mergeCell ref="V333:X333"/>
    <mergeCell ref="Y333:AB333"/>
    <mergeCell ref="AC333:AE333"/>
    <mergeCell ref="AF333:AH333"/>
    <mergeCell ref="AI333:AJ333"/>
    <mergeCell ref="AK333:AN333"/>
    <mergeCell ref="AO333:AQ333"/>
    <mergeCell ref="AI332:AJ332"/>
    <mergeCell ref="AK332:AN332"/>
    <mergeCell ref="AO332:AQ332"/>
    <mergeCell ref="AR332:AT332"/>
    <mergeCell ref="AU332:AW332"/>
    <mergeCell ref="AX332:AY332"/>
    <mergeCell ref="AR331:AT331"/>
    <mergeCell ref="AU331:AW331"/>
    <mergeCell ref="AX331:AY331"/>
    <mergeCell ref="AZ331:BD331"/>
    <mergeCell ref="BE331:BF331"/>
    <mergeCell ref="C332:U332"/>
    <mergeCell ref="V332:X332"/>
    <mergeCell ref="Y332:AB332"/>
    <mergeCell ref="AC332:AE332"/>
    <mergeCell ref="AF332:AH332"/>
    <mergeCell ref="AZ330:BD330"/>
    <mergeCell ref="BE330:BF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I330:AJ330"/>
    <mergeCell ref="AK330:AN330"/>
    <mergeCell ref="AO330:AQ330"/>
    <mergeCell ref="AR330:AT330"/>
    <mergeCell ref="AU330:AW330"/>
    <mergeCell ref="AX330:AY330"/>
    <mergeCell ref="AR329:AT329"/>
    <mergeCell ref="AU329:AW329"/>
    <mergeCell ref="AX329:AY329"/>
    <mergeCell ref="AZ329:BD329"/>
    <mergeCell ref="BE329:BF329"/>
    <mergeCell ref="C330:U330"/>
    <mergeCell ref="V330:X330"/>
    <mergeCell ref="Y330:AB330"/>
    <mergeCell ref="AC330:AE330"/>
    <mergeCell ref="AF330:AH330"/>
    <mergeCell ref="AZ328:BD328"/>
    <mergeCell ref="BE328:BF328"/>
    <mergeCell ref="B329:U329"/>
    <mergeCell ref="V329:X329"/>
    <mergeCell ref="Y329:AB329"/>
    <mergeCell ref="AC329:AE329"/>
    <mergeCell ref="AF329:AH329"/>
    <mergeCell ref="AI329:AJ329"/>
    <mergeCell ref="AK329:AN329"/>
    <mergeCell ref="AO329:AQ329"/>
    <mergeCell ref="AI328:AJ328"/>
    <mergeCell ref="AK328:AN328"/>
    <mergeCell ref="AO328:AQ328"/>
    <mergeCell ref="AR328:AT328"/>
    <mergeCell ref="AU328:AW328"/>
    <mergeCell ref="AX328:AY328"/>
    <mergeCell ref="AR327:AT327"/>
    <mergeCell ref="AU327:AW327"/>
    <mergeCell ref="AX327:AY327"/>
    <mergeCell ref="AZ327:BD327"/>
    <mergeCell ref="BE327:BF327"/>
    <mergeCell ref="B328:U328"/>
    <mergeCell ref="V328:X328"/>
    <mergeCell ref="Y328:AB328"/>
    <mergeCell ref="AC328:AE328"/>
    <mergeCell ref="AF328:AH328"/>
    <mergeCell ref="AZ326:BD326"/>
    <mergeCell ref="BE326:BF326"/>
    <mergeCell ref="C327:U327"/>
    <mergeCell ref="V327:X327"/>
    <mergeCell ref="Y327:AB327"/>
    <mergeCell ref="AC327:AE327"/>
    <mergeCell ref="AF327:AH327"/>
    <mergeCell ref="AI327:AJ327"/>
    <mergeCell ref="AK327:AN327"/>
    <mergeCell ref="AO327:AQ327"/>
    <mergeCell ref="AI326:AJ326"/>
    <mergeCell ref="AK326:AN326"/>
    <mergeCell ref="AO326:AQ326"/>
    <mergeCell ref="AR326:AT326"/>
    <mergeCell ref="AU326:AW326"/>
    <mergeCell ref="AX326:AY326"/>
    <mergeCell ref="AR325:AT325"/>
    <mergeCell ref="AU325:AW325"/>
    <mergeCell ref="AX325:AY325"/>
    <mergeCell ref="AZ325:BD325"/>
    <mergeCell ref="BE325:BF325"/>
    <mergeCell ref="C326:U326"/>
    <mergeCell ref="V326:X326"/>
    <mergeCell ref="Y326:AB326"/>
    <mergeCell ref="AC326:AE326"/>
    <mergeCell ref="AF326:AH326"/>
    <mergeCell ref="AZ324:BD324"/>
    <mergeCell ref="BE324:BF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I324:AJ324"/>
    <mergeCell ref="AK324:AN324"/>
    <mergeCell ref="AO324:AQ324"/>
    <mergeCell ref="AR324:AT324"/>
    <mergeCell ref="AU324:AW324"/>
    <mergeCell ref="AX324:AY324"/>
    <mergeCell ref="AR323:AT323"/>
    <mergeCell ref="AU323:AW323"/>
    <mergeCell ref="AX323:AY323"/>
    <mergeCell ref="AZ323:BD323"/>
    <mergeCell ref="BE323:BF323"/>
    <mergeCell ref="C324:U324"/>
    <mergeCell ref="V324:X324"/>
    <mergeCell ref="Y324:AB324"/>
    <mergeCell ref="AC324:AE324"/>
    <mergeCell ref="AF324:AH324"/>
    <mergeCell ref="AZ322:BD322"/>
    <mergeCell ref="BE322:BF322"/>
    <mergeCell ref="C323:U323"/>
    <mergeCell ref="V323:X323"/>
    <mergeCell ref="Y323:AB323"/>
    <mergeCell ref="AC323:AE323"/>
    <mergeCell ref="AF323:AH323"/>
    <mergeCell ref="AI323:AJ323"/>
    <mergeCell ref="AK323:AN323"/>
    <mergeCell ref="AO323:AQ323"/>
    <mergeCell ref="AI322:AJ322"/>
    <mergeCell ref="AK322:AN322"/>
    <mergeCell ref="AO322:AQ322"/>
    <mergeCell ref="AR322:AT322"/>
    <mergeCell ref="AU322:AW322"/>
    <mergeCell ref="AX322:AY322"/>
    <mergeCell ref="AR321:AT321"/>
    <mergeCell ref="AU321:AW321"/>
    <mergeCell ref="AX321:AY321"/>
    <mergeCell ref="AZ321:BD321"/>
    <mergeCell ref="BE321:BF321"/>
    <mergeCell ref="C322:U322"/>
    <mergeCell ref="V322:X322"/>
    <mergeCell ref="Y322:AB322"/>
    <mergeCell ref="AC322:AE322"/>
    <mergeCell ref="AF322:AH322"/>
    <mergeCell ref="AZ320:BD320"/>
    <mergeCell ref="BE320:BF320"/>
    <mergeCell ref="C321:U321"/>
    <mergeCell ref="V321:X321"/>
    <mergeCell ref="Y321:AB321"/>
    <mergeCell ref="AC321:AE321"/>
    <mergeCell ref="AF321:AH321"/>
    <mergeCell ref="AI321:AJ321"/>
    <mergeCell ref="AK321:AN321"/>
    <mergeCell ref="AO321:AQ321"/>
    <mergeCell ref="AI320:AJ320"/>
    <mergeCell ref="AK320:AN320"/>
    <mergeCell ref="AO320:AQ320"/>
    <mergeCell ref="AR320:AT320"/>
    <mergeCell ref="AU320:AW320"/>
    <mergeCell ref="AX320:AY320"/>
    <mergeCell ref="AR319:AT319"/>
    <mergeCell ref="AU319:AW319"/>
    <mergeCell ref="AX319:AY319"/>
    <mergeCell ref="AZ319:BD319"/>
    <mergeCell ref="BE319:BF319"/>
    <mergeCell ref="C320:U320"/>
    <mergeCell ref="V320:X320"/>
    <mergeCell ref="Y320:AB320"/>
    <mergeCell ref="AC320:AE320"/>
    <mergeCell ref="AF320:AH320"/>
    <mergeCell ref="AZ318:BD318"/>
    <mergeCell ref="BE318:BF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I318:AJ318"/>
    <mergeCell ref="AK318:AN318"/>
    <mergeCell ref="AO318:AQ318"/>
    <mergeCell ref="AR318:AT318"/>
    <mergeCell ref="AU318:AW318"/>
    <mergeCell ref="AX318:AY318"/>
    <mergeCell ref="AR317:AT317"/>
    <mergeCell ref="AU317:AW317"/>
    <mergeCell ref="AX317:AY317"/>
    <mergeCell ref="AZ317:BD317"/>
    <mergeCell ref="BE317:BF317"/>
    <mergeCell ref="B318:U318"/>
    <mergeCell ref="V318:X318"/>
    <mergeCell ref="Y318:AB318"/>
    <mergeCell ref="AC318:AE318"/>
    <mergeCell ref="AF318:AH318"/>
    <mergeCell ref="AZ316:BD316"/>
    <mergeCell ref="BE316:BF316"/>
    <mergeCell ref="B317:U317"/>
    <mergeCell ref="V317:X317"/>
    <mergeCell ref="Y317:AB317"/>
    <mergeCell ref="AC317:AE317"/>
    <mergeCell ref="AF317:AH317"/>
    <mergeCell ref="AI317:AJ317"/>
    <mergeCell ref="AK317:AN317"/>
    <mergeCell ref="AO317:AQ317"/>
    <mergeCell ref="AI316:AJ316"/>
    <mergeCell ref="AK316:AN316"/>
    <mergeCell ref="AO316:AQ316"/>
    <mergeCell ref="AR316:AT316"/>
    <mergeCell ref="AU316:AW316"/>
    <mergeCell ref="AX316:AY316"/>
    <mergeCell ref="AR315:AT315"/>
    <mergeCell ref="AU315:AW315"/>
    <mergeCell ref="AX315:AY315"/>
    <mergeCell ref="AZ315:BD315"/>
    <mergeCell ref="BE315:BF315"/>
    <mergeCell ref="C316:U316"/>
    <mergeCell ref="V316:X316"/>
    <mergeCell ref="Y316:AB316"/>
    <mergeCell ref="AC316:AE316"/>
    <mergeCell ref="AF316:AH316"/>
    <mergeCell ref="AZ314:BD314"/>
    <mergeCell ref="BE314:BF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I314:AJ314"/>
    <mergeCell ref="AK314:AN314"/>
    <mergeCell ref="AO314:AQ314"/>
    <mergeCell ref="AR314:AT314"/>
    <mergeCell ref="AU314:AW314"/>
    <mergeCell ref="AX314:AY314"/>
    <mergeCell ref="AR313:AT313"/>
    <mergeCell ref="AU313:AW313"/>
    <mergeCell ref="AX313:AY313"/>
    <mergeCell ref="AZ313:BD313"/>
    <mergeCell ref="BE313:BF313"/>
    <mergeCell ref="C314:U314"/>
    <mergeCell ref="V314:X314"/>
    <mergeCell ref="Y314:AB314"/>
    <mergeCell ref="AC314:AE314"/>
    <mergeCell ref="AF314:AH314"/>
    <mergeCell ref="AZ312:BD312"/>
    <mergeCell ref="BE312:BF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I312:AJ312"/>
    <mergeCell ref="AK312:AN312"/>
    <mergeCell ref="AO312:AQ312"/>
    <mergeCell ref="AR312:AT312"/>
    <mergeCell ref="AU312:AW312"/>
    <mergeCell ref="AX312:AY312"/>
    <mergeCell ref="AR311:AT311"/>
    <mergeCell ref="AU311:AW311"/>
    <mergeCell ref="AX311:AY311"/>
    <mergeCell ref="AZ311:BD311"/>
    <mergeCell ref="BE311:BF311"/>
    <mergeCell ref="C312:U312"/>
    <mergeCell ref="V312:X312"/>
    <mergeCell ref="Y312:AB312"/>
    <mergeCell ref="AC312:AE312"/>
    <mergeCell ref="AF312:AH312"/>
    <mergeCell ref="AZ310:BD310"/>
    <mergeCell ref="BE310:BF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I310:AJ310"/>
    <mergeCell ref="AK310:AN310"/>
    <mergeCell ref="AO310:AQ310"/>
    <mergeCell ref="AR310:AT310"/>
    <mergeCell ref="AU310:AW310"/>
    <mergeCell ref="AX310:AY310"/>
    <mergeCell ref="AR309:AT309"/>
    <mergeCell ref="AU309:AW309"/>
    <mergeCell ref="AX309:AY309"/>
    <mergeCell ref="AZ309:BD309"/>
    <mergeCell ref="BE309:BF309"/>
    <mergeCell ref="C310:U310"/>
    <mergeCell ref="V310:X310"/>
    <mergeCell ref="Y310:AB310"/>
    <mergeCell ref="AC310:AE310"/>
    <mergeCell ref="AF310:AH310"/>
    <mergeCell ref="AZ308:BD308"/>
    <mergeCell ref="BE308:BF308"/>
    <mergeCell ref="C309:U309"/>
    <mergeCell ref="V309:X309"/>
    <mergeCell ref="Y309:AB309"/>
    <mergeCell ref="AC309:AE309"/>
    <mergeCell ref="AF309:AH309"/>
    <mergeCell ref="AI309:AJ309"/>
    <mergeCell ref="AK309:AN309"/>
    <mergeCell ref="AO309:AQ309"/>
    <mergeCell ref="AI308:AJ308"/>
    <mergeCell ref="AK308:AN308"/>
    <mergeCell ref="AO308:AQ308"/>
    <mergeCell ref="AR308:AT308"/>
    <mergeCell ref="AU308:AW308"/>
    <mergeCell ref="AX308:AY308"/>
    <mergeCell ref="AR307:AT307"/>
    <mergeCell ref="AU307:AW307"/>
    <mergeCell ref="AX307:AY307"/>
    <mergeCell ref="AZ307:BD307"/>
    <mergeCell ref="BE307:BF307"/>
    <mergeCell ref="C308:U308"/>
    <mergeCell ref="V308:X308"/>
    <mergeCell ref="Y308:AB308"/>
    <mergeCell ref="AC308:AE308"/>
    <mergeCell ref="AF308:AH308"/>
    <mergeCell ref="AZ306:BD306"/>
    <mergeCell ref="BE306:BF306"/>
    <mergeCell ref="B307:U307"/>
    <mergeCell ref="V307:X307"/>
    <mergeCell ref="Y307:AB307"/>
    <mergeCell ref="AC307:AE307"/>
    <mergeCell ref="AF307:AH307"/>
    <mergeCell ref="AI307:AJ307"/>
    <mergeCell ref="AK307:AN307"/>
    <mergeCell ref="AO307:AQ307"/>
    <mergeCell ref="AI306:AJ306"/>
    <mergeCell ref="AK306:AN306"/>
    <mergeCell ref="AO306:AQ306"/>
    <mergeCell ref="AR306:AT306"/>
    <mergeCell ref="AU306:AW306"/>
    <mergeCell ref="AX306:AY306"/>
    <mergeCell ref="AR305:AT305"/>
    <mergeCell ref="AU305:AW305"/>
    <mergeCell ref="AX305:AY305"/>
    <mergeCell ref="AZ305:BD305"/>
    <mergeCell ref="BE305:BF305"/>
    <mergeCell ref="B306:U306"/>
    <mergeCell ref="V306:X306"/>
    <mergeCell ref="Y306:AB306"/>
    <mergeCell ref="AC306:AE306"/>
    <mergeCell ref="AF306:AH306"/>
    <mergeCell ref="AZ304:BD304"/>
    <mergeCell ref="BE304:BF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I304:AJ304"/>
    <mergeCell ref="AK304:AN304"/>
    <mergeCell ref="AO304:AQ304"/>
    <mergeCell ref="AR304:AT304"/>
    <mergeCell ref="AU304:AW304"/>
    <mergeCell ref="AX304:AY304"/>
    <mergeCell ref="AR303:AT303"/>
    <mergeCell ref="AU303:AW303"/>
    <mergeCell ref="AX303:AY303"/>
    <mergeCell ref="AZ303:BD303"/>
    <mergeCell ref="BE303:BF303"/>
    <mergeCell ref="C304:U304"/>
    <mergeCell ref="V304:X304"/>
    <mergeCell ref="Y304:AB304"/>
    <mergeCell ref="AC304:AE304"/>
    <mergeCell ref="AF304:AH304"/>
    <mergeCell ref="AZ302:BD302"/>
    <mergeCell ref="BE302:BF302"/>
    <mergeCell ref="C303:U303"/>
    <mergeCell ref="V303:X303"/>
    <mergeCell ref="Y303:AB303"/>
    <mergeCell ref="AC303:AE303"/>
    <mergeCell ref="AF303:AH303"/>
    <mergeCell ref="AI303:AJ303"/>
    <mergeCell ref="AK303:AN303"/>
    <mergeCell ref="AO303:AQ303"/>
    <mergeCell ref="AI302:AJ302"/>
    <mergeCell ref="AK302:AN302"/>
    <mergeCell ref="AO302:AQ302"/>
    <mergeCell ref="AR302:AT302"/>
    <mergeCell ref="AU302:AW302"/>
    <mergeCell ref="AX302:AY302"/>
    <mergeCell ref="AR301:AT301"/>
    <mergeCell ref="AU301:AW301"/>
    <mergeCell ref="AX301:AY301"/>
    <mergeCell ref="AZ301:BD301"/>
    <mergeCell ref="BE301:BF301"/>
    <mergeCell ref="C302:U302"/>
    <mergeCell ref="V302:X302"/>
    <mergeCell ref="Y302:AB302"/>
    <mergeCell ref="AC302:AE302"/>
    <mergeCell ref="AF302:AH302"/>
    <mergeCell ref="AZ300:BD300"/>
    <mergeCell ref="BE300:BF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I300:AJ300"/>
    <mergeCell ref="AK300:AN300"/>
    <mergeCell ref="AO300:AQ300"/>
    <mergeCell ref="AR300:AT300"/>
    <mergeCell ref="AU300:AW300"/>
    <mergeCell ref="AX300:AY300"/>
    <mergeCell ref="AR299:AT299"/>
    <mergeCell ref="AU299:AW299"/>
    <mergeCell ref="AX299:AY299"/>
    <mergeCell ref="AZ299:BD299"/>
    <mergeCell ref="BE299:BF299"/>
    <mergeCell ref="C300:U300"/>
    <mergeCell ref="V300:X300"/>
    <mergeCell ref="Y300:AB300"/>
    <mergeCell ref="AC300:AE300"/>
    <mergeCell ref="AF300:AH300"/>
    <mergeCell ref="AZ298:BD298"/>
    <mergeCell ref="BE298:BF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I298:AJ298"/>
    <mergeCell ref="AK298:AN298"/>
    <mergeCell ref="AO298:AQ298"/>
    <mergeCell ref="AR298:AT298"/>
    <mergeCell ref="AU298:AW298"/>
    <mergeCell ref="AX298:AY298"/>
    <mergeCell ref="AR297:AT297"/>
    <mergeCell ref="AU297:AW297"/>
    <mergeCell ref="AX297:AY297"/>
    <mergeCell ref="AZ297:BD297"/>
    <mergeCell ref="BE297:BF297"/>
    <mergeCell ref="C298:U298"/>
    <mergeCell ref="V298:X298"/>
    <mergeCell ref="Y298:AB298"/>
    <mergeCell ref="AC298:AE298"/>
    <mergeCell ref="AF298:AH298"/>
    <mergeCell ref="AZ296:BD296"/>
    <mergeCell ref="BE296:BF296"/>
    <mergeCell ref="C297:U297"/>
    <mergeCell ref="V297:X297"/>
    <mergeCell ref="Y297:AB297"/>
    <mergeCell ref="AC297:AE297"/>
    <mergeCell ref="AF297:AH297"/>
    <mergeCell ref="AI297:AJ297"/>
    <mergeCell ref="AK297:AN297"/>
    <mergeCell ref="AO297:AQ297"/>
    <mergeCell ref="AI296:AJ296"/>
    <mergeCell ref="AK296:AN296"/>
    <mergeCell ref="AO296:AQ296"/>
    <mergeCell ref="AR296:AT296"/>
    <mergeCell ref="AU296:AW296"/>
    <mergeCell ref="AX296:AY296"/>
    <mergeCell ref="AR295:AT295"/>
    <mergeCell ref="AU295:AW295"/>
    <mergeCell ref="AX295:AY295"/>
    <mergeCell ref="AZ295:BD295"/>
    <mergeCell ref="BE295:BF295"/>
    <mergeCell ref="B296:U296"/>
    <mergeCell ref="V296:X296"/>
    <mergeCell ref="Y296:AB296"/>
    <mergeCell ref="AC296:AE296"/>
    <mergeCell ref="AF296:AH296"/>
    <mergeCell ref="AZ294:BD294"/>
    <mergeCell ref="BE294:BF294"/>
    <mergeCell ref="B295:U295"/>
    <mergeCell ref="V295:X295"/>
    <mergeCell ref="Y295:AB295"/>
    <mergeCell ref="AC295:AE295"/>
    <mergeCell ref="AF295:AH295"/>
    <mergeCell ref="AI295:AJ295"/>
    <mergeCell ref="AK295:AN295"/>
    <mergeCell ref="AO295:AQ295"/>
    <mergeCell ref="AI294:AJ294"/>
    <mergeCell ref="AK294:AN294"/>
    <mergeCell ref="AO294:AQ294"/>
    <mergeCell ref="AR294:AT294"/>
    <mergeCell ref="AU294:AW294"/>
    <mergeCell ref="AX294:AY294"/>
    <mergeCell ref="AR293:AT293"/>
    <mergeCell ref="AU293:AW293"/>
    <mergeCell ref="AX293:AY293"/>
    <mergeCell ref="AZ293:BD293"/>
    <mergeCell ref="BE293:BF293"/>
    <mergeCell ref="C294:U294"/>
    <mergeCell ref="V294:X294"/>
    <mergeCell ref="Y294:AB294"/>
    <mergeCell ref="AC294:AE294"/>
    <mergeCell ref="AF294:AH294"/>
    <mergeCell ref="AZ292:BD292"/>
    <mergeCell ref="BE292:BF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I292:AJ292"/>
    <mergeCell ref="AK292:AN292"/>
    <mergeCell ref="AO292:AQ292"/>
    <mergeCell ref="AR292:AT292"/>
    <mergeCell ref="AU292:AW292"/>
    <mergeCell ref="AX292:AY292"/>
    <mergeCell ref="AR291:AT291"/>
    <mergeCell ref="AU291:AW291"/>
    <mergeCell ref="AX291:AY291"/>
    <mergeCell ref="AZ291:BD291"/>
    <mergeCell ref="BE291:BF291"/>
    <mergeCell ref="C292:U292"/>
    <mergeCell ref="V292:X292"/>
    <mergeCell ref="Y292:AB292"/>
    <mergeCell ref="AC292:AE292"/>
    <mergeCell ref="AF292:AH292"/>
    <mergeCell ref="AZ290:BD290"/>
    <mergeCell ref="BE290:BF290"/>
    <mergeCell ref="C291:U291"/>
    <mergeCell ref="V291:X291"/>
    <mergeCell ref="Y291:AB291"/>
    <mergeCell ref="AC291:AE291"/>
    <mergeCell ref="AF291:AH291"/>
    <mergeCell ref="AI291:AJ291"/>
    <mergeCell ref="AK291:AN291"/>
    <mergeCell ref="AO291:AQ291"/>
    <mergeCell ref="AI290:AJ290"/>
    <mergeCell ref="AK290:AN290"/>
    <mergeCell ref="AO290:AQ290"/>
    <mergeCell ref="AR290:AT290"/>
    <mergeCell ref="AU290:AW290"/>
    <mergeCell ref="AX290:AY290"/>
    <mergeCell ref="AR289:AT289"/>
    <mergeCell ref="AU289:AW289"/>
    <mergeCell ref="AX289:AY289"/>
    <mergeCell ref="AZ289:BD289"/>
    <mergeCell ref="BE289:BF289"/>
    <mergeCell ref="C290:U290"/>
    <mergeCell ref="V290:X290"/>
    <mergeCell ref="Y290:AB290"/>
    <mergeCell ref="AC290:AE290"/>
    <mergeCell ref="AF290:AH290"/>
    <mergeCell ref="AZ288:BD288"/>
    <mergeCell ref="BE288:BF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I288:AJ288"/>
    <mergeCell ref="AK288:AN288"/>
    <mergeCell ref="AO288:AQ288"/>
    <mergeCell ref="AR288:AT288"/>
    <mergeCell ref="AU288:AW288"/>
    <mergeCell ref="AX288:AY288"/>
    <mergeCell ref="AR287:AT287"/>
    <mergeCell ref="AU287:AW287"/>
    <mergeCell ref="AX287:AY287"/>
    <mergeCell ref="AZ287:BD287"/>
    <mergeCell ref="BE287:BF287"/>
    <mergeCell ref="C288:U288"/>
    <mergeCell ref="V288:X288"/>
    <mergeCell ref="Y288:AB288"/>
    <mergeCell ref="AC288:AE288"/>
    <mergeCell ref="AF288:AH288"/>
    <mergeCell ref="AZ286:BD286"/>
    <mergeCell ref="BE286:BF286"/>
    <mergeCell ref="C287:U287"/>
    <mergeCell ref="V287:X287"/>
    <mergeCell ref="Y287:AB287"/>
    <mergeCell ref="AC287:AE287"/>
    <mergeCell ref="AF287:AH287"/>
    <mergeCell ref="AI287:AJ287"/>
    <mergeCell ref="AK287:AN287"/>
    <mergeCell ref="AO287:AQ287"/>
    <mergeCell ref="AI286:AJ286"/>
    <mergeCell ref="AK286:AN286"/>
    <mergeCell ref="AO286:AQ286"/>
    <mergeCell ref="AR286:AT286"/>
    <mergeCell ref="AU286:AW286"/>
    <mergeCell ref="AX286:AY286"/>
    <mergeCell ref="AR285:AT285"/>
    <mergeCell ref="AU285:AW285"/>
    <mergeCell ref="AX285:AY285"/>
    <mergeCell ref="AZ285:BD285"/>
    <mergeCell ref="BE285:BF285"/>
    <mergeCell ref="C286:U286"/>
    <mergeCell ref="V286:X286"/>
    <mergeCell ref="Y286:AB286"/>
    <mergeCell ref="AC286:AE286"/>
    <mergeCell ref="AF286:AH286"/>
    <mergeCell ref="AZ284:BD284"/>
    <mergeCell ref="BE284:BF284"/>
    <mergeCell ref="B285:U285"/>
    <mergeCell ref="V285:X285"/>
    <mergeCell ref="Y285:AB285"/>
    <mergeCell ref="AC285:AE285"/>
    <mergeCell ref="AF285:AH285"/>
    <mergeCell ref="AI285:AJ285"/>
    <mergeCell ref="AK285:AN285"/>
    <mergeCell ref="AO285:AQ285"/>
    <mergeCell ref="AI284:AJ284"/>
    <mergeCell ref="AK284:AN284"/>
    <mergeCell ref="AO284:AQ284"/>
    <mergeCell ref="AR284:AT284"/>
    <mergeCell ref="AU284:AW284"/>
    <mergeCell ref="AX284:AY284"/>
    <mergeCell ref="AR283:AT283"/>
    <mergeCell ref="AU283:AW283"/>
    <mergeCell ref="AX283:AY283"/>
    <mergeCell ref="AZ283:BD283"/>
    <mergeCell ref="BE283:BF283"/>
    <mergeCell ref="B284:U284"/>
    <mergeCell ref="V284:X284"/>
    <mergeCell ref="Y284:AB284"/>
    <mergeCell ref="AC284:AE284"/>
    <mergeCell ref="AF284:AH284"/>
    <mergeCell ref="AZ282:BD282"/>
    <mergeCell ref="BE282:BF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I282:AJ282"/>
    <mergeCell ref="AK282:AN282"/>
    <mergeCell ref="AO282:AQ282"/>
    <mergeCell ref="AR282:AT282"/>
    <mergeCell ref="AU282:AW282"/>
    <mergeCell ref="AX282:AY282"/>
    <mergeCell ref="AR281:AT281"/>
    <mergeCell ref="AU281:AW281"/>
    <mergeCell ref="AX281:AY281"/>
    <mergeCell ref="AZ281:BD281"/>
    <mergeCell ref="BE281:BF281"/>
    <mergeCell ref="C282:U282"/>
    <mergeCell ref="V282:X282"/>
    <mergeCell ref="Y282:AB282"/>
    <mergeCell ref="AC282:AE282"/>
    <mergeCell ref="AF282:AH282"/>
    <mergeCell ref="AZ280:BD280"/>
    <mergeCell ref="BE280:BF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I280:AJ280"/>
    <mergeCell ref="AK280:AN280"/>
    <mergeCell ref="AO280:AQ280"/>
    <mergeCell ref="AR280:AT280"/>
    <mergeCell ref="AU280:AW280"/>
    <mergeCell ref="AX280:AY280"/>
    <mergeCell ref="AR279:AT279"/>
    <mergeCell ref="AU279:AW279"/>
    <mergeCell ref="AX279:AY279"/>
    <mergeCell ref="AZ279:BD279"/>
    <mergeCell ref="BE279:BF279"/>
    <mergeCell ref="C280:U280"/>
    <mergeCell ref="V280:X280"/>
    <mergeCell ref="Y280:AB280"/>
    <mergeCell ref="AC280:AE280"/>
    <mergeCell ref="AF280:AH280"/>
    <mergeCell ref="AZ278:BD278"/>
    <mergeCell ref="BE278:BF278"/>
    <mergeCell ref="C279:U279"/>
    <mergeCell ref="V279:X279"/>
    <mergeCell ref="Y279:AB279"/>
    <mergeCell ref="AC279:AE279"/>
    <mergeCell ref="AF279:AH279"/>
    <mergeCell ref="AI279:AJ279"/>
    <mergeCell ref="AK279:AN279"/>
    <mergeCell ref="AO279:AQ279"/>
    <mergeCell ref="AI278:AJ278"/>
    <mergeCell ref="AK278:AN278"/>
    <mergeCell ref="AO278:AQ278"/>
    <mergeCell ref="AR278:AT278"/>
    <mergeCell ref="AU278:AW278"/>
    <mergeCell ref="AX278:AY278"/>
    <mergeCell ref="AR277:AT277"/>
    <mergeCell ref="AU277:AW277"/>
    <mergeCell ref="AX277:AY277"/>
    <mergeCell ref="AZ277:BD277"/>
    <mergeCell ref="BE277:BF277"/>
    <mergeCell ref="C278:U278"/>
    <mergeCell ref="V278:X278"/>
    <mergeCell ref="Y278:AB278"/>
    <mergeCell ref="AC278:AE278"/>
    <mergeCell ref="AF278:AH278"/>
    <mergeCell ref="AZ276:BD276"/>
    <mergeCell ref="BE276:BF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I276:AJ276"/>
    <mergeCell ref="AK276:AN276"/>
    <mergeCell ref="AO276:AQ276"/>
    <mergeCell ref="AR276:AT276"/>
    <mergeCell ref="AU276:AW276"/>
    <mergeCell ref="AX276:AY276"/>
    <mergeCell ref="AR275:AT275"/>
    <mergeCell ref="AU275:AW275"/>
    <mergeCell ref="AX275:AY275"/>
    <mergeCell ref="AZ275:BD275"/>
    <mergeCell ref="BE275:BF275"/>
    <mergeCell ref="C276:U276"/>
    <mergeCell ref="V276:X276"/>
    <mergeCell ref="Y276:AB276"/>
    <mergeCell ref="AC276:AE276"/>
    <mergeCell ref="AF276:AH276"/>
    <mergeCell ref="AZ274:BD274"/>
    <mergeCell ref="BE274:BF274"/>
    <mergeCell ref="C275:U275"/>
    <mergeCell ref="V275:X275"/>
    <mergeCell ref="Y275:AB275"/>
    <mergeCell ref="AC275:AE275"/>
    <mergeCell ref="AF275:AH275"/>
    <mergeCell ref="AI275:AJ275"/>
    <mergeCell ref="AK275:AN275"/>
    <mergeCell ref="AO275:AQ275"/>
    <mergeCell ref="AI274:AJ274"/>
    <mergeCell ref="AK274:AN274"/>
    <mergeCell ref="AO274:AQ274"/>
    <mergeCell ref="AR274:AT274"/>
    <mergeCell ref="AU274:AW274"/>
    <mergeCell ref="AX274:AY274"/>
    <mergeCell ref="AR273:AT273"/>
    <mergeCell ref="AU273:AW273"/>
    <mergeCell ref="AX273:AY273"/>
    <mergeCell ref="AZ273:BD273"/>
    <mergeCell ref="BE273:BF273"/>
    <mergeCell ref="B274:U274"/>
    <mergeCell ref="V274:X274"/>
    <mergeCell ref="Y274:AB274"/>
    <mergeCell ref="AC274:AE274"/>
    <mergeCell ref="AF274:AH274"/>
    <mergeCell ref="AZ272:BD272"/>
    <mergeCell ref="BE272:BF272"/>
    <mergeCell ref="B273:U273"/>
    <mergeCell ref="V273:X273"/>
    <mergeCell ref="Y273:AB273"/>
    <mergeCell ref="AC273:AE273"/>
    <mergeCell ref="AF273:AH273"/>
    <mergeCell ref="AI273:AJ273"/>
    <mergeCell ref="AK273:AN273"/>
    <mergeCell ref="AO273:AQ273"/>
    <mergeCell ref="AI272:AJ272"/>
    <mergeCell ref="AK272:AN272"/>
    <mergeCell ref="AO272:AQ272"/>
    <mergeCell ref="AR272:AT272"/>
    <mergeCell ref="AU272:AW272"/>
    <mergeCell ref="AX272:AY272"/>
    <mergeCell ref="AR271:AT271"/>
    <mergeCell ref="AU271:AW271"/>
    <mergeCell ref="AX271:AY271"/>
    <mergeCell ref="AZ271:BD271"/>
    <mergeCell ref="BE271:BF271"/>
    <mergeCell ref="C272:U272"/>
    <mergeCell ref="V272:X272"/>
    <mergeCell ref="Y272:AB272"/>
    <mergeCell ref="AC272:AE272"/>
    <mergeCell ref="AF272:AH272"/>
    <mergeCell ref="AZ270:BD270"/>
    <mergeCell ref="BE270:BF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I270:AJ270"/>
    <mergeCell ref="AK270:AN270"/>
    <mergeCell ref="AO270:AQ270"/>
    <mergeCell ref="AR270:AT270"/>
    <mergeCell ref="AU270:AW270"/>
    <mergeCell ref="AX270:AY270"/>
    <mergeCell ref="AR269:AT269"/>
    <mergeCell ref="AU269:AW269"/>
    <mergeCell ref="AX269:AY269"/>
    <mergeCell ref="AZ269:BD269"/>
    <mergeCell ref="BE269:BF269"/>
    <mergeCell ref="C270:U270"/>
    <mergeCell ref="V270:X270"/>
    <mergeCell ref="Y270:AB270"/>
    <mergeCell ref="AC270:AE270"/>
    <mergeCell ref="AF270:AH270"/>
    <mergeCell ref="AZ268:BD268"/>
    <mergeCell ref="BE268:BF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I268:AJ268"/>
    <mergeCell ref="AK268:AN268"/>
    <mergeCell ref="AO268:AQ268"/>
    <mergeCell ref="AR268:AT268"/>
    <mergeCell ref="AU268:AW268"/>
    <mergeCell ref="AX268:AY268"/>
    <mergeCell ref="AR267:AT267"/>
    <mergeCell ref="AU267:AW267"/>
    <mergeCell ref="AX267:AY267"/>
    <mergeCell ref="AZ267:BD267"/>
    <mergeCell ref="BE267:BF267"/>
    <mergeCell ref="C268:U268"/>
    <mergeCell ref="V268:X268"/>
    <mergeCell ref="Y268:AB268"/>
    <mergeCell ref="AC268:AE268"/>
    <mergeCell ref="AF268:AH268"/>
    <mergeCell ref="AZ266:BD266"/>
    <mergeCell ref="BE266:BF266"/>
    <mergeCell ref="C267:U267"/>
    <mergeCell ref="V267:X267"/>
    <mergeCell ref="Y267:AB267"/>
    <mergeCell ref="AC267:AE267"/>
    <mergeCell ref="AF267:AH267"/>
    <mergeCell ref="AI267:AJ267"/>
    <mergeCell ref="AK267:AN267"/>
    <mergeCell ref="AO267:AQ267"/>
    <mergeCell ref="AI266:AJ266"/>
    <mergeCell ref="AK266:AN266"/>
    <mergeCell ref="AO266:AQ266"/>
    <mergeCell ref="AR266:AT266"/>
    <mergeCell ref="AU266:AW266"/>
    <mergeCell ref="AX266:AY266"/>
    <mergeCell ref="AR265:AT265"/>
    <mergeCell ref="AU265:AW265"/>
    <mergeCell ref="AX265:AY265"/>
    <mergeCell ref="AZ265:BD265"/>
    <mergeCell ref="BE265:BF265"/>
    <mergeCell ref="C266:U266"/>
    <mergeCell ref="V266:X266"/>
    <mergeCell ref="Y266:AB266"/>
    <mergeCell ref="AC266:AE266"/>
    <mergeCell ref="AF266:AH266"/>
    <mergeCell ref="AZ264:BD264"/>
    <mergeCell ref="BE264:BF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I264:AJ264"/>
    <mergeCell ref="AK264:AN264"/>
    <mergeCell ref="AO264:AQ264"/>
    <mergeCell ref="AR264:AT264"/>
    <mergeCell ref="AU264:AW264"/>
    <mergeCell ref="AX264:AY264"/>
    <mergeCell ref="AR263:AT263"/>
    <mergeCell ref="AU263:AW263"/>
    <mergeCell ref="AX263:AY263"/>
    <mergeCell ref="AZ263:BD263"/>
    <mergeCell ref="BE263:BF263"/>
    <mergeCell ref="C264:U264"/>
    <mergeCell ref="V264:X264"/>
    <mergeCell ref="Y264:AB264"/>
    <mergeCell ref="AC264:AE264"/>
    <mergeCell ref="AF264:AH264"/>
    <mergeCell ref="AZ262:BD262"/>
    <mergeCell ref="BE262:BF262"/>
    <mergeCell ref="B263:U263"/>
    <mergeCell ref="V263:X263"/>
    <mergeCell ref="Y263:AB263"/>
    <mergeCell ref="AC263:AE263"/>
    <mergeCell ref="AF263:AH263"/>
    <mergeCell ref="AI263:AJ263"/>
    <mergeCell ref="AK263:AN263"/>
    <mergeCell ref="AO263:AQ263"/>
    <mergeCell ref="AI262:AJ262"/>
    <mergeCell ref="AK262:AN262"/>
    <mergeCell ref="AO262:AQ262"/>
    <mergeCell ref="AR262:AT262"/>
    <mergeCell ref="AU262:AW262"/>
    <mergeCell ref="AX262:AY262"/>
    <mergeCell ref="AR261:AT261"/>
    <mergeCell ref="AU261:AW261"/>
    <mergeCell ref="AX261:AY261"/>
    <mergeCell ref="AZ261:BD261"/>
    <mergeCell ref="BE261:BF261"/>
    <mergeCell ref="B262:U262"/>
    <mergeCell ref="V262:X262"/>
    <mergeCell ref="Y262:AB262"/>
    <mergeCell ref="AC262:AE262"/>
    <mergeCell ref="AF262:AH262"/>
    <mergeCell ref="AZ260:BD260"/>
    <mergeCell ref="BE260:BF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I260:AJ260"/>
    <mergeCell ref="AK260:AN260"/>
    <mergeCell ref="AO260:AQ260"/>
    <mergeCell ref="AR260:AT260"/>
    <mergeCell ref="AU260:AW260"/>
    <mergeCell ref="AX260:AY260"/>
    <mergeCell ref="AR259:AT259"/>
    <mergeCell ref="AU259:AW259"/>
    <mergeCell ref="AX259:AY259"/>
    <mergeCell ref="AZ259:BD259"/>
    <mergeCell ref="BE259:BF259"/>
    <mergeCell ref="C260:U260"/>
    <mergeCell ref="V260:X260"/>
    <mergeCell ref="Y260:AB260"/>
    <mergeCell ref="AC260:AE260"/>
    <mergeCell ref="AF260:AH260"/>
    <mergeCell ref="AZ258:BD258"/>
    <mergeCell ref="BE258:BF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I258:AJ258"/>
    <mergeCell ref="AK258:AN258"/>
    <mergeCell ref="AO258:AQ258"/>
    <mergeCell ref="AR258:AT258"/>
    <mergeCell ref="AU258:AW258"/>
    <mergeCell ref="AX258:AY258"/>
    <mergeCell ref="AR257:AT257"/>
    <mergeCell ref="AU257:AW257"/>
    <mergeCell ref="AX257:AY257"/>
    <mergeCell ref="AZ257:BD257"/>
    <mergeCell ref="BE257:BF257"/>
    <mergeCell ref="C258:U258"/>
    <mergeCell ref="V258:X258"/>
    <mergeCell ref="Y258:AB258"/>
    <mergeCell ref="AC258:AE258"/>
    <mergeCell ref="AF258:AH258"/>
    <mergeCell ref="AZ256:BD256"/>
    <mergeCell ref="BE256:BF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I256:AJ256"/>
    <mergeCell ref="AK256:AN256"/>
    <mergeCell ref="AO256:AQ256"/>
    <mergeCell ref="AR256:AT256"/>
    <mergeCell ref="AU256:AW256"/>
    <mergeCell ref="AX256:AY256"/>
    <mergeCell ref="AR255:AT255"/>
    <mergeCell ref="AU255:AW255"/>
    <mergeCell ref="AX255:AY255"/>
    <mergeCell ref="AZ255:BD255"/>
    <mergeCell ref="BE255:BF255"/>
    <mergeCell ref="C256:U256"/>
    <mergeCell ref="V256:X256"/>
    <mergeCell ref="Y256:AB256"/>
    <mergeCell ref="AC256:AE256"/>
    <mergeCell ref="AF256:AH256"/>
    <mergeCell ref="AZ254:BD254"/>
    <mergeCell ref="BE254:BF254"/>
    <mergeCell ref="C255:U255"/>
    <mergeCell ref="V255:X255"/>
    <mergeCell ref="Y255:AB255"/>
    <mergeCell ref="AC255:AE255"/>
    <mergeCell ref="AF255:AH255"/>
    <mergeCell ref="AI255:AJ255"/>
    <mergeCell ref="AK255:AN255"/>
    <mergeCell ref="AO255:AQ255"/>
    <mergeCell ref="AI254:AJ254"/>
    <mergeCell ref="AK254:AN254"/>
    <mergeCell ref="AO254:AQ254"/>
    <mergeCell ref="AR254:AT254"/>
    <mergeCell ref="AU254:AW254"/>
    <mergeCell ref="AX254:AY254"/>
    <mergeCell ref="AR253:AT253"/>
    <mergeCell ref="AU253:AW253"/>
    <mergeCell ref="AX253:AY253"/>
    <mergeCell ref="AZ253:BD253"/>
    <mergeCell ref="BE253:BF253"/>
    <mergeCell ref="C254:U254"/>
    <mergeCell ref="V254:X254"/>
    <mergeCell ref="Y254:AB254"/>
    <mergeCell ref="AC254:AE254"/>
    <mergeCell ref="AF254:AH254"/>
    <mergeCell ref="AZ252:BD252"/>
    <mergeCell ref="BE252:BF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I252:AJ252"/>
    <mergeCell ref="AK252:AN252"/>
    <mergeCell ref="AO252:AQ252"/>
    <mergeCell ref="AR252:AT252"/>
    <mergeCell ref="AU252:AW252"/>
    <mergeCell ref="AX252:AY252"/>
    <mergeCell ref="AR251:AT251"/>
    <mergeCell ref="AU251:AW251"/>
    <mergeCell ref="AX251:AY251"/>
    <mergeCell ref="AZ251:BD251"/>
    <mergeCell ref="BE251:BF251"/>
    <mergeCell ref="B252:U252"/>
    <mergeCell ref="V252:X252"/>
    <mergeCell ref="Y252:AB252"/>
    <mergeCell ref="AC252:AE252"/>
    <mergeCell ref="AF252:AH252"/>
    <mergeCell ref="AZ250:BD250"/>
    <mergeCell ref="BE250:BF250"/>
    <mergeCell ref="B251:U251"/>
    <mergeCell ref="V251:X251"/>
    <mergeCell ref="Y251:AB251"/>
    <mergeCell ref="AC251:AE251"/>
    <mergeCell ref="AF251:AH251"/>
    <mergeCell ref="AI251:AJ251"/>
    <mergeCell ref="AK251:AN251"/>
    <mergeCell ref="AO251:AQ251"/>
    <mergeCell ref="AI250:AJ250"/>
    <mergeCell ref="AK250:AN250"/>
    <mergeCell ref="AO250:AQ250"/>
    <mergeCell ref="AR250:AT250"/>
    <mergeCell ref="AU250:AW250"/>
    <mergeCell ref="AX250:AY250"/>
    <mergeCell ref="AR249:AT249"/>
    <mergeCell ref="AU249:AW249"/>
    <mergeCell ref="AX249:AY249"/>
    <mergeCell ref="AZ249:BD249"/>
    <mergeCell ref="BE249:BF249"/>
    <mergeCell ref="B250:U250"/>
    <mergeCell ref="V250:X250"/>
    <mergeCell ref="Y250:AB250"/>
    <mergeCell ref="AC250:AE250"/>
    <mergeCell ref="AF250:AH250"/>
    <mergeCell ref="AZ248:BD248"/>
    <mergeCell ref="BE247:BF248"/>
    <mergeCell ref="B249:U249"/>
    <mergeCell ref="V249:X249"/>
    <mergeCell ref="Y249:AB249"/>
    <mergeCell ref="AC249:AE249"/>
    <mergeCell ref="AF249:AH249"/>
    <mergeCell ref="AI249:AJ249"/>
    <mergeCell ref="AK249:AN249"/>
    <mergeCell ref="AO249:AQ249"/>
    <mergeCell ref="AI248:AJ248"/>
    <mergeCell ref="AK248:AN248"/>
    <mergeCell ref="AO248:AQ248"/>
    <mergeCell ref="AR248:AT248"/>
    <mergeCell ref="AU248:AW248"/>
    <mergeCell ref="AX248:AY248"/>
    <mergeCell ref="A245:L245"/>
    <mergeCell ref="M245:BT245"/>
    <mergeCell ref="A246:BT246"/>
    <mergeCell ref="A247:A360"/>
    <mergeCell ref="B247:U248"/>
    <mergeCell ref="V247:X248"/>
    <mergeCell ref="Y247:BD247"/>
    <mergeCell ref="Y248:AB248"/>
    <mergeCell ref="AC248:AE248"/>
    <mergeCell ref="AF248:AH248"/>
    <mergeCell ref="AW244:AX244"/>
    <mergeCell ref="AY244:AZ244"/>
    <mergeCell ref="BA244:BC244"/>
    <mergeCell ref="BD244:BE244"/>
    <mergeCell ref="BF244:BG244"/>
    <mergeCell ref="BQ244:BS244"/>
    <mergeCell ref="AG244:AI244"/>
    <mergeCell ref="AJ244:AK244"/>
    <mergeCell ref="AL244:AM244"/>
    <mergeCell ref="AN244:AO244"/>
    <mergeCell ref="AP244:AR244"/>
    <mergeCell ref="AT244:AV244"/>
    <mergeCell ref="A244:L244"/>
    <mergeCell ref="M244:O244"/>
    <mergeCell ref="P244:T244"/>
    <mergeCell ref="U244:W244"/>
    <mergeCell ref="X244:AA244"/>
    <mergeCell ref="AB244:AD244"/>
    <mergeCell ref="AW243:AX243"/>
    <mergeCell ref="AY243:AZ243"/>
    <mergeCell ref="BA243:BC243"/>
    <mergeCell ref="BD243:BE243"/>
    <mergeCell ref="BF243:BG243"/>
    <mergeCell ref="BQ243:BS243"/>
    <mergeCell ref="AG243:AI243"/>
    <mergeCell ref="AJ243:AK243"/>
    <mergeCell ref="AL243:AM243"/>
    <mergeCell ref="AN243:AO243"/>
    <mergeCell ref="AP243:AR243"/>
    <mergeCell ref="AT243:AV243"/>
    <mergeCell ref="A243:L243"/>
    <mergeCell ref="M243:O243"/>
    <mergeCell ref="P243:T243"/>
    <mergeCell ref="U243:W243"/>
    <mergeCell ref="X243:AA243"/>
    <mergeCell ref="AB243:AD243"/>
    <mergeCell ref="AW242:AX242"/>
    <mergeCell ref="AY242:AZ242"/>
    <mergeCell ref="BA242:BC242"/>
    <mergeCell ref="BD242:BE242"/>
    <mergeCell ref="BF242:BG242"/>
    <mergeCell ref="BQ242:BS242"/>
    <mergeCell ref="AG242:AI242"/>
    <mergeCell ref="AJ242:AK242"/>
    <mergeCell ref="AL242:AM242"/>
    <mergeCell ref="AN242:AO242"/>
    <mergeCell ref="AP242:AR242"/>
    <mergeCell ref="AT242:AV242"/>
    <mergeCell ref="A242:L242"/>
    <mergeCell ref="M242:O242"/>
    <mergeCell ref="P242:T242"/>
    <mergeCell ref="U242:W242"/>
    <mergeCell ref="X242:AA242"/>
    <mergeCell ref="AB242:AD242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W230:AX230"/>
    <mergeCell ref="AY230:AZ230"/>
    <mergeCell ref="BA230:BC230"/>
    <mergeCell ref="BD230:BE230"/>
    <mergeCell ref="BF230:BG230"/>
    <mergeCell ref="BQ230:BS230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Y229:AZ229"/>
    <mergeCell ref="BA228:BT228"/>
    <mergeCell ref="BA229:BC229"/>
    <mergeCell ref="BD229:BE229"/>
    <mergeCell ref="BF229:BG229"/>
    <mergeCell ref="BQ229:BS229"/>
    <mergeCell ref="AJ229:AK229"/>
    <mergeCell ref="AL229:AM229"/>
    <mergeCell ref="AN229:AO229"/>
    <mergeCell ref="AP229:AR229"/>
    <mergeCell ref="AT229:AV229"/>
    <mergeCell ref="AW229:AX229"/>
    <mergeCell ref="A226:BT226"/>
    <mergeCell ref="A227:BT227"/>
    <mergeCell ref="A228:L229"/>
    <mergeCell ref="M228:O229"/>
    <mergeCell ref="P228:T229"/>
    <mergeCell ref="U228:AZ228"/>
    <mergeCell ref="U229:W229"/>
    <mergeCell ref="X229:AA229"/>
    <mergeCell ref="AB229:AD229"/>
    <mergeCell ref="AG229:AI229"/>
    <mergeCell ref="AW225:AX225"/>
    <mergeCell ref="AY225:AZ225"/>
    <mergeCell ref="BA225:BC225"/>
    <mergeCell ref="BD225:BE225"/>
    <mergeCell ref="BF225:BG225"/>
    <mergeCell ref="BQ225:BS225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3:BT93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1:L91"/>
    <mergeCell ref="M91:BT91"/>
    <mergeCell ref="A92:BT92"/>
    <mergeCell ref="A93:L94"/>
    <mergeCell ref="M93:O94"/>
    <mergeCell ref="P93:T94"/>
    <mergeCell ref="U93:AZ93"/>
    <mergeCell ref="U94:W94"/>
    <mergeCell ref="X94:AA94"/>
    <mergeCell ref="AB94:AD94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6" max="255" man="1"/>
    <brk id="245" max="255" man="1"/>
    <brk id="245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2022-08-04T11:42:58Z</dcterms:created>
  <dcterms:modified xsi:type="dcterms:W3CDTF">2022-08-04T11:42:58Z</dcterms:modified>
  <cp:category/>
  <cp:version/>
  <cp:contentType/>
  <cp:contentStatus/>
</cp:coreProperties>
</file>